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8730"/>
  </bookViews>
  <sheets>
    <sheet name="Grades" sheetId="7" r:id="rId1"/>
    <sheet name="Attendance" sheetId="8" r:id="rId2"/>
  </sheets>
  <externalReferences>
    <externalReference r:id="rId3"/>
  </externalReferences>
  <definedNames>
    <definedName name="_xlnm._FilterDatabase" localSheetId="0" hidden="1">Grades!$B$1:$S$13</definedName>
  </definedNames>
  <calcPr calcId="144525"/>
</workbook>
</file>

<file path=xl/calcChain.xml><?xml version="1.0" encoding="utf-8"?>
<calcChain xmlns="http://schemas.openxmlformats.org/spreadsheetml/2006/main">
  <c r="AX15" i="8" l="1"/>
  <c r="AO15" i="8"/>
  <c r="AS15" i="8" l="1"/>
  <c r="AT15" i="8"/>
  <c r="AU15" i="8"/>
  <c r="AR15" i="8" l="1"/>
  <c r="AM15" i="8"/>
  <c r="AN15" i="8"/>
  <c r="AL15" i="8" l="1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F1" i="8"/>
  <c r="G1" i="8" s="1"/>
  <c r="H3" i="8" l="1"/>
  <c r="H5" i="8"/>
  <c r="H8" i="8"/>
  <c r="H4" i="8"/>
  <c r="H6" i="8"/>
  <c r="H7" i="8"/>
  <c r="H9" i="8"/>
  <c r="H10" i="8"/>
  <c r="H11" i="8"/>
  <c r="H12" i="8"/>
  <c r="H13" i="8"/>
  <c r="H14" i="8"/>
  <c r="S18" i="7"/>
  <c r="J14" i="7"/>
  <c r="K14" i="7"/>
  <c r="J15" i="7"/>
  <c r="K15" i="7"/>
  <c r="J16" i="7"/>
  <c r="K16" i="7"/>
  <c r="J17" i="7"/>
  <c r="K17" i="7"/>
  <c r="E14" i="7"/>
  <c r="F14" i="7"/>
  <c r="E15" i="7"/>
  <c r="F15" i="7"/>
  <c r="E16" i="7"/>
  <c r="F16" i="7"/>
  <c r="E17" i="7"/>
  <c r="F17" i="7"/>
  <c r="Q13" i="7" l="1"/>
  <c r="S13" i="7" s="1"/>
  <c r="Q12" i="7"/>
  <c r="S12" i="7" s="1"/>
  <c r="Q11" i="7"/>
  <c r="S11" i="7" s="1"/>
  <c r="Q10" i="7"/>
  <c r="S10" i="7" s="1"/>
  <c r="Q9" i="7"/>
  <c r="S9" i="7" s="1"/>
  <c r="Q8" i="7"/>
  <c r="S8" i="7" s="1"/>
  <c r="Q7" i="7"/>
  <c r="S7" i="7" s="1"/>
  <c r="Q6" i="7"/>
  <c r="S6" i="7" s="1"/>
  <c r="Q5" i="7"/>
  <c r="S5" i="7" s="1"/>
  <c r="Q4" i="7"/>
  <c r="S4" i="7" s="1"/>
  <c r="Q3" i="7"/>
  <c r="S3" i="7" s="1"/>
  <c r="Q2" i="7"/>
  <c r="S2" i="7" s="1"/>
  <c r="P15" i="7"/>
  <c r="P14" i="7"/>
  <c r="G14" i="7"/>
  <c r="G15" i="7"/>
  <c r="G16" i="7"/>
  <c r="G17" i="7"/>
  <c r="I17" i="7"/>
  <c r="H14" i="7"/>
  <c r="I14" i="7"/>
  <c r="L14" i="7"/>
  <c r="M14" i="7"/>
  <c r="N14" i="7"/>
  <c r="O14" i="7"/>
  <c r="R14" i="7"/>
  <c r="H15" i="7"/>
  <c r="L15" i="7"/>
  <c r="M15" i="7"/>
  <c r="N15" i="7"/>
  <c r="O15" i="7"/>
  <c r="R15" i="7"/>
  <c r="H16" i="7"/>
  <c r="L16" i="7"/>
  <c r="M16" i="7"/>
  <c r="N16" i="7"/>
  <c r="O16" i="7"/>
  <c r="P16" i="7"/>
  <c r="R16" i="7"/>
  <c r="H17" i="7"/>
  <c r="L17" i="7"/>
  <c r="M17" i="7"/>
  <c r="N17" i="7"/>
  <c r="O17" i="7"/>
  <c r="R17" i="7"/>
  <c r="Q17" i="7" l="1"/>
  <c r="Q16" i="7"/>
  <c r="Q14" i="7"/>
  <c r="Q15" i="7"/>
  <c r="P17" i="7"/>
  <c r="S17" i="7"/>
  <c r="I16" i="7"/>
  <c r="I15" i="7"/>
  <c r="S14" i="7" l="1"/>
  <c r="S15" i="7"/>
  <c r="S16" i="7"/>
  <c r="Y5" i="7" l="1"/>
  <c r="Y7" i="7"/>
  <c r="Y11" i="7"/>
  <c r="Y8" i="7"/>
  <c r="X8" i="7"/>
  <c r="X10" i="7"/>
  <c r="X5" i="7"/>
  <c r="X7" i="7"/>
  <c r="X4" i="7"/>
  <c r="Y6" i="7"/>
  <c r="Y12" i="7"/>
  <c r="Y10" i="7"/>
  <c r="Y9" i="7"/>
  <c r="X11" i="7"/>
  <c r="X9" i="7"/>
  <c r="X6" i="7"/>
  <c r="Z5" i="7"/>
  <c r="Z12" i="7"/>
  <c r="Z4" i="7" l="1"/>
  <c r="Z8" i="7"/>
  <c r="Z6" i="7"/>
  <c r="Z11" i="7"/>
  <c r="Z10" i="7"/>
  <c r="Z3" i="7"/>
  <c r="Z9" i="7"/>
  <c r="Z7" i="7"/>
</calcChain>
</file>

<file path=xl/comments1.xml><?xml version="1.0" encoding="utf-8"?>
<comments xmlns="http://schemas.openxmlformats.org/spreadsheetml/2006/main">
  <authors>
    <author>Turgut AKYÜREK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</commentList>
</comments>
</file>

<file path=xl/comments2.xml><?xml version="1.0" encoding="utf-8"?>
<comments xmlns="http://schemas.openxmlformats.org/spreadsheetml/2006/main">
  <authors>
    <author>Turgut AKYÜREK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rapor</t>
        </r>
      </text>
    </comment>
  </commentList>
</comments>
</file>

<file path=xl/sharedStrings.xml><?xml version="1.0" encoding="utf-8"?>
<sst xmlns="http://schemas.openxmlformats.org/spreadsheetml/2006/main" count="145" uniqueCount="83">
  <si>
    <t>Oğuzhan</t>
  </si>
  <si>
    <t>Mert</t>
  </si>
  <si>
    <t>Number</t>
  </si>
  <si>
    <t>Name</t>
  </si>
  <si>
    <t>Family Name</t>
  </si>
  <si>
    <t>Q1</t>
  </si>
  <si>
    <t>Average</t>
  </si>
  <si>
    <t>Max</t>
  </si>
  <si>
    <t>Min</t>
  </si>
  <si>
    <t>std</t>
  </si>
  <si>
    <t>MT1</t>
  </si>
  <si>
    <t>NA</t>
  </si>
  <si>
    <t>ERTUĞRUL</t>
  </si>
  <si>
    <t>MT2</t>
  </si>
  <si>
    <t>Q2</t>
  </si>
  <si>
    <t>No</t>
  </si>
  <si>
    <t>Q3</t>
  </si>
  <si>
    <t>Final</t>
  </si>
  <si>
    <t>Grade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</si>
  <si>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</si>
  <si>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</si>
  <si>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</si>
  <si>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</si>
  <si>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</si>
  <si>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</si>
  <si>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</si>
  <si>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</si>
  <si>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</si>
  <si>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Low.Limit</t>
  </si>
  <si>
    <t>Overall</t>
  </si>
  <si>
    <t>HW1</t>
  </si>
  <si>
    <t>HW2</t>
  </si>
  <si>
    <t>HW3</t>
  </si>
  <si>
    <t>Tutku Yüce</t>
  </si>
  <si>
    <t>ÇABADAK</t>
  </si>
  <si>
    <t>Kemal Berkay</t>
  </si>
  <si>
    <t>KORKUT</t>
  </si>
  <si>
    <t>YÜKSEL</t>
  </si>
  <si>
    <t>CALCULATED</t>
  </si>
  <si>
    <t>Up.Limit</t>
  </si>
  <si>
    <t>201115004</t>
  </si>
  <si>
    <t>Çağrı</t>
  </si>
  <si>
    <t>CİNDİOĞLU</t>
  </si>
  <si>
    <t>201115005</t>
  </si>
  <si>
    <t>201115025</t>
  </si>
  <si>
    <t>Semih</t>
  </si>
  <si>
    <t>KIYAK</t>
  </si>
  <si>
    <t>201115029</t>
  </si>
  <si>
    <t>201115031</t>
  </si>
  <si>
    <t>Fazlı Burak</t>
  </si>
  <si>
    <t>KURT</t>
  </si>
  <si>
    <t>201115049</t>
  </si>
  <si>
    <t>201115050</t>
  </si>
  <si>
    <t>Barış Mehmet</t>
  </si>
  <si>
    <t>ZEYTİNCİ</t>
  </si>
  <si>
    <t>201117010</t>
  </si>
  <si>
    <t>Muzaffer Zeki</t>
  </si>
  <si>
    <t>ÇINAR</t>
  </si>
  <si>
    <t>201119325</t>
  </si>
  <si>
    <t>Kadir Can</t>
  </si>
  <si>
    <t>ERKMEN</t>
  </si>
  <si>
    <t>201119326</t>
  </si>
  <si>
    <t>Mehmet Mert</t>
  </si>
  <si>
    <t>AYGEN</t>
  </si>
  <si>
    <t>HW4</t>
  </si>
  <si>
    <t>Q4</t>
  </si>
  <si>
    <t>HW5</t>
  </si>
  <si>
    <t>Q5</t>
  </si>
  <si>
    <t>Attend</t>
  </si>
  <si>
    <t>ME 204 Engineering Mechanics:Dynamics
 Attendance</t>
  </si>
  <si>
    <t>Dept</t>
  </si>
  <si>
    <t>Lec. Att.</t>
  </si>
  <si>
    <t>Lec. Non-Att.</t>
  </si>
  <si>
    <t>% Lec. Non-Att. (Max.30%)</t>
  </si>
  <si>
    <t>R</t>
  </si>
  <si>
    <t>ME</t>
  </si>
  <si>
    <t>CE</t>
  </si>
  <si>
    <t>201014003</t>
  </si>
  <si>
    <t>Servet Eres</t>
  </si>
  <si>
    <t>ALBAYRAK</t>
  </si>
  <si>
    <t>ECE</t>
  </si>
  <si>
    <t>Servet Enes</t>
  </si>
  <si>
    <t>MECE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</si>
</sst>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"/>
    <numFmt numFmtId="165" formatCode="0.0%"/>
    <numFmt numFmtId="166" formatCode="_-* #,##0.00\ _T_L_-;\-* #,##0.00\ _T_L_-;_-* &quot;-&quot;??\ _T_L_-;_-@_-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10"/>
      <color indexed="63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indexed="8"/>
      <name val="Verdana"/>
      <family val="2"/>
      <charset val="162"/>
    </font>
    <font>
      <sz val="1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color theme="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indexed="8"/>
      <name val="Times New Roman"/>
      <charset val="1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0" fontId="6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10" fillId="2" borderId="1" xfId="2" applyNumberFormat="1" applyFont="1" applyFill="1" applyBorder="1" applyAlignment="1">
      <alignment vertical="top" wrapText="1" readingOrder="1"/>
    </xf>
    <xf numFmtId="43" fontId="10" fillId="2" borderId="1" xfId="2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164" fontId="9" fillId="4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6" xfId="3" applyFont="1" applyBorder="1" applyAlignment="1">
      <alignment horizontal="center"/>
    </xf>
    <xf numFmtId="49" fontId="11" fillId="2" borderId="1" xfId="4" applyNumberFormat="1" applyFont="1" applyFill="1" applyBorder="1" applyAlignment="1">
      <alignment vertical="top" wrapText="1" readingOrder="1"/>
    </xf>
    <xf numFmtId="43" fontId="11" fillId="2" borderId="1" xfId="4" applyFont="1" applyFill="1" applyBorder="1" applyAlignment="1">
      <alignment vertical="top" wrapText="1" readingOrder="1"/>
    </xf>
    <xf numFmtId="0" fontId="9" fillId="0" borderId="4" xfId="3" applyFont="1" applyBorder="1" applyAlignment="1">
      <alignment horizontal="center" vertical="top"/>
    </xf>
    <xf numFmtId="165" fontId="9" fillId="0" borderId="4" xfId="3" applyNumberFormat="1" applyFont="1" applyBorder="1" applyAlignment="1">
      <alignment horizontal="center" vertical="top"/>
    </xf>
    <xf numFmtId="0" fontId="9" fillId="0" borderId="4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3" fontId="10" fillId="0" borderId="1" xfId="3" applyNumberFormat="1" applyFont="1" applyBorder="1" applyAlignment="1">
      <alignment horizontal="center" vertical="top"/>
    </xf>
    <xf numFmtId="0" fontId="13" fillId="0" borderId="4" xfId="3" applyFont="1" applyBorder="1" applyAlignment="1">
      <alignment horizontal="center"/>
    </xf>
    <xf numFmtId="49" fontId="14" fillId="2" borderId="1" xfId="4" applyNumberFormat="1" applyFont="1" applyFill="1" applyBorder="1" applyAlignment="1">
      <alignment vertical="top" wrapText="1" readingOrder="1"/>
    </xf>
    <xf numFmtId="43" fontId="14" fillId="2" borderId="1" xfId="4" applyFont="1" applyFill="1" applyBorder="1" applyAlignment="1">
      <alignment vertical="top" wrapText="1" readingOrder="1"/>
    </xf>
    <xf numFmtId="1" fontId="6" fillId="0" borderId="3" xfId="0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9" fillId="3" borderId="1" xfId="3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/>
    </xf>
  </cellXfs>
  <cellStyles count="6">
    <cellStyle name="Comma" xfId="2" builtinId="3"/>
    <cellStyle name="Comma 2" xfId="4"/>
    <cellStyle name="Comma 3" xfId="5"/>
    <cellStyle name="Normal" xfId="0" builtinId="0"/>
    <cellStyle name="Normal 2" xfId="1"/>
    <cellStyle name="Normal 3" xfId="3"/>
  </cellStyles>
  <dxfs count="1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0.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6062992125992E-2"/>
          <c:y val="5.0925925925925923E-2"/>
          <c:w val="0.7486999125109377"/>
          <c:h val="0.83309419655876438"/>
        </c:manualLayout>
      </c:layout>
      <c:barChart>
        <c:barDir val="col"/>
        <c:grouping val="clustered"/>
        <c:varyColors val="0"/>
        <c:ser>
          <c:idx val="0"/>
          <c:order val="0"/>
          <c:tx>
            <c:v>Calculated</c:v>
          </c:tx>
          <c:invertIfNegative val="0"/>
          <c:cat>
            <c:strRef>
              <c:f>[1]All!$Q$3:$Q$12</c:f>
              <c:strCache>
                <c:ptCount val="10"/>
                <c:pt idx="0">
                  <c:v>NA</c:v>
                </c:pt>
                <c:pt idx="1">
                  <c:v>FF</c:v>
                </c:pt>
                <c:pt idx="2">
                  <c:v>FD</c:v>
                </c:pt>
                <c:pt idx="3">
                  <c:v>DD</c:v>
                </c:pt>
                <c:pt idx="4">
                  <c:v>DC</c:v>
                </c:pt>
                <c:pt idx="5">
                  <c:v>CC</c:v>
                </c:pt>
                <c:pt idx="6">
                  <c:v>CB</c:v>
                </c:pt>
                <c:pt idx="7">
                  <c:v>BB</c:v>
                </c:pt>
                <c:pt idx="8">
                  <c:v>BA</c:v>
                </c:pt>
                <c:pt idx="9">
                  <c:v>AA</c:v>
                </c:pt>
              </c:strCache>
            </c:strRef>
          </c:cat>
          <c:val>
            <c:numRef>
              <c:f>Grades!$Z$3:$Z$12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49888"/>
        <c:axId val="194951424"/>
      </c:barChart>
      <c:catAx>
        <c:axId val="1949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4951424"/>
        <c:crosses val="autoZero"/>
        <c:auto val="1"/>
        <c:lblAlgn val="ctr"/>
        <c:lblOffset val="100"/>
        <c:noMultiLvlLbl val="0"/>
      </c:catAx>
      <c:valAx>
        <c:axId val="19495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494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14</xdr:row>
      <xdr:rowOff>0</xdr:rowOff>
    </xdr:from>
    <xdr:to>
      <xdr:col>27</xdr:col>
      <xdr:colOff>466725</xdr:colOff>
      <xdr:row>25</xdr:row>
      <xdr:rowOff>161925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rgut%20AKY&#220;REK/Documents/Cankaya/CAD/IE111/2011%20Fall/Grad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(2)"/>
    </sheetNames>
    <sheetDataSet>
      <sheetData sheetId="0">
        <row r="3">
          <cell r="Q3" t="str">
            <v>NA</v>
          </cell>
        </row>
        <row r="4">
          <cell r="Q4" t="str">
            <v>FF</v>
          </cell>
        </row>
        <row r="5">
          <cell r="Q5" t="str">
            <v>FD</v>
          </cell>
        </row>
        <row r="6">
          <cell r="Q6" t="str">
            <v>DD</v>
          </cell>
        </row>
        <row r="7">
          <cell r="Q7" t="str">
            <v>DC</v>
          </cell>
        </row>
        <row r="8">
          <cell r="Q8" t="str">
            <v>CC</v>
          </cell>
        </row>
        <row r="9">
          <cell r="Q9" t="str">
            <v>CB</v>
          </cell>
        </row>
        <row r="10">
          <cell r="Q10" t="str">
            <v>BB</v>
          </cell>
        </row>
        <row r="11">
          <cell r="Q11" t="str">
            <v>BA</v>
          </cell>
        </row>
        <row r="12">
          <cell r="Q12" t="str">
            <v>AA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2" displayName="Table42" ref="A1:T13" insertRowShift="1" totalsRowShown="0" headerRowDxfId="179">
  <sortState ref="A2:N81">
    <sortCondition ref="B2:B81"/>
  </sortState>
  <tableColumns count="20">
    <tableColumn id="1" name="No" dataDxfId="178"/>
    <tableColumn id="2" name="Number" dataDxfId="177"/>
    <tableColumn id="3" name="Name" dataDxfId="176"/>
    <tableColumn id="4" name="Family Name" dataDxfId="175"/>
    <tableColumn id="20" name="HW1" dataDxfId="174" dataCellStyle="Comma"/>
    <tableColumn id="21" name="Q1" dataDxfId="173" dataCellStyle="Comma"/>
    <tableColumn id="14" name="HW2" dataDxfId="172"/>
    <tableColumn id="5" name="Q2" dataDxfId="171"/>
    <tableColumn id="6" name="MT1" dataDxfId="170"/>
    <tableColumn id="22" name="HW3" dataDxfId="169"/>
    <tableColumn id="23" name="Q3" dataDxfId="168"/>
    <tableColumn id="17" name="HW4" dataDxfId="167" dataCellStyle="Normal 2"/>
    <tableColumn id="7" name="Q4" dataDxfId="166" dataCellStyle="Normal 2"/>
    <tableColumn id="8" name="MT2" dataDxfId="165"/>
    <tableColumn id="18" name="HW5" dataDxfId="164"/>
    <tableColumn id="9" name="Q5" dataDxfId="163" dataCellStyle="Normal 2"/>
    <tableColumn id="11" name="Attend" dataDxfId="162" dataCellStyle="Normal 2">
      <calculatedColumnFormula>IF(Attendance!H3&lt;=0.3,50*(1-Attendance!H3*100/30),0)</calculatedColumnFormula>
    </tableColumn>
    <tableColumn id="12" name="Final" dataDxfId="2"/>
    <tableColumn id="13" name="Overall" dataDxfId="0"/>
    <tableColumn id="15" name="Grade" dataDxfId="1" dataCellStyle="Normal 2">
      <calculatedColumnFormula>LOOKUP(S2,$X$3:$X$12,$W$3:$W$12)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8" displayName="Table8" ref="A3:AY14" headerRowCount="0" totalsRowShown="0" headerRowDxfId="159" dataDxfId="158" tableBorderDxfId="157" totalsRowBorderDxfId="156">
  <tableColumns count="51">
    <tableColumn id="1" name="Column1" headerRowDxfId="155" dataDxfId="154" totalsRowDxfId="153"/>
    <tableColumn id="2" name="Column2" headerRowDxfId="152" dataDxfId="151" totalsRowDxfId="150"/>
    <tableColumn id="3" name="Column3" headerRowDxfId="149" dataDxfId="148" totalsRowDxfId="147"/>
    <tableColumn id="4" name="Column4" headerRowDxfId="146" dataDxfId="145" totalsRowDxfId="144"/>
    <tableColumn id="5" name="Column5" headerRowDxfId="143" dataDxfId="142" totalsRowDxfId="141"/>
    <tableColumn id="6" name="Column6" headerRowDxfId="140" dataDxfId="139" totalsRowDxfId="138">
      <calculatedColumnFormula>I3+J3+L3+M3+O3+P3+R3+S3+U3+V3+X3+Y3+AA3+AB3+AD3+AE3+AG3+AH3+AJ3+AK3+AM3+AN3+AP3+AQ3+AS3+AT3+AV3+AW3</calculatedColumnFormula>
    </tableColumn>
    <tableColumn id="8" name="Column8" headerRowDxfId="137" dataDxfId="136" totalsRowDxfId="135">
      <calculatedColumnFormula>COUNTIF(Table8[[#This Row],[Column12]:[Column66]],0)</calculatedColumnFormula>
    </tableColumn>
    <tableColumn id="10" name="Column10" headerRowDxfId="134" dataDxfId="133" totalsRowDxfId="132">
      <calculatedColumnFormula>G3/$F$1</calculatedColumnFormula>
    </tableColumn>
    <tableColumn id="12" name="Column12" headerRowDxfId="131" dataDxfId="130" totalsRowDxfId="129"/>
    <tableColumn id="13" name="Column13" headerRowDxfId="128" dataDxfId="127" totalsRowDxfId="126"/>
    <tableColumn id="14" name="Column14" headerRowDxfId="125" dataDxfId="124" totalsRowDxfId="123"/>
    <tableColumn id="16" name="Column16" headerRowDxfId="122" dataDxfId="121" totalsRowDxfId="120"/>
    <tableColumn id="17" name="Column17" headerRowDxfId="119" dataDxfId="118" totalsRowDxfId="117"/>
    <tableColumn id="18" name="Column18" headerRowDxfId="116" dataDxfId="115" totalsRowDxfId="114"/>
    <tableColumn id="20" name="Column20" headerRowDxfId="113" dataDxfId="112" totalsRowDxfId="111"/>
    <tableColumn id="21" name="Column21" headerRowDxfId="110" dataDxfId="109" totalsRowDxfId="108"/>
    <tableColumn id="22" name="Column22" headerRowDxfId="107" dataDxfId="106" totalsRowDxfId="105"/>
    <tableColumn id="24" name="Column24" headerRowDxfId="104" dataDxfId="103" totalsRowDxfId="102"/>
    <tableColumn id="25" name="Column25" headerRowDxfId="101" dataDxfId="100" totalsRowDxfId="99"/>
    <tableColumn id="26" name="Column26" headerRowDxfId="98" dataDxfId="97" totalsRowDxfId="96"/>
    <tableColumn id="28" name="Column28" headerRowDxfId="95" dataDxfId="94" totalsRowDxfId="93"/>
    <tableColumn id="29" name="Column29" headerRowDxfId="92" dataDxfId="91" totalsRowDxfId="90"/>
    <tableColumn id="30" name="Column30" headerRowDxfId="89" dataDxfId="88" totalsRowDxfId="87"/>
    <tableColumn id="32" name="Column32" headerRowDxfId="86" dataDxfId="85" totalsRowDxfId="84"/>
    <tableColumn id="33" name="Column33" headerRowDxfId="83" dataDxfId="82" totalsRowDxfId="81"/>
    <tableColumn id="34" name="Column34" headerRowDxfId="80" dataDxfId="79" totalsRowDxfId="78"/>
    <tableColumn id="36" name="Column36" headerRowDxfId="77" dataDxfId="76" totalsRowDxfId="75"/>
    <tableColumn id="37" name="Column37" headerRowDxfId="74" dataDxfId="73" totalsRowDxfId="72"/>
    <tableColumn id="38" name="Column38" headerRowDxfId="71" dataDxfId="70" totalsRowDxfId="69"/>
    <tableColumn id="40" name="Column40" headerRowDxfId="68" dataDxfId="67" totalsRowDxfId="66"/>
    <tableColumn id="41" name="Column41" headerRowDxfId="65" dataDxfId="64" totalsRowDxfId="63"/>
    <tableColumn id="42" name="Column42" headerRowDxfId="62" dataDxfId="61" totalsRowDxfId="60"/>
    <tableColumn id="44" name="Column44" headerRowDxfId="59" dataDxfId="58" totalsRowDxfId="57"/>
    <tableColumn id="45" name="Column45" headerRowDxfId="56" dataDxfId="55" totalsRowDxfId="54"/>
    <tableColumn id="46" name="Column46" headerRowDxfId="53" dataDxfId="52" totalsRowDxfId="51"/>
    <tableColumn id="48" name="Column48" headerRowDxfId="50" dataDxfId="49" totalsRowDxfId="48"/>
    <tableColumn id="49" name="Column49" headerRowDxfId="47" dataDxfId="46" totalsRowDxfId="45"/>
    <tableColumn id="50" name="Column50" headerRowDxfId="44" dataDxfId="43" totalsRowDxfId="42"/>
    <tableColumn id="52" name="Column52" headerRowDxfId="41" dataDxfId="40" totalsRowDxfId="39"/>
    <tableColumn id="53" name="Column53" headerRowDxfId="38" dataDxfId="37" totalsRowDxfId="36"/>
    <tableColumn id="54" name="Column54" headerRowDxfId="35" dataDxfId="34" totalsRowDxfId="33"/>
    <tableColumn id="56" name="Column56" headerRowDxfId="32" dataDxfId="31" totalsRowDxfId="30"/>
    <tableColumn id="57" name="Column57" headerRowDxfId="29" dataDxfId="28" totalsRowDxfId="27"/>
    <tableColumn id="58" name="Column58" headerRowDxfId="26" dataDxfId="25" totalsRowDxfId="24"/>
    <tableColumn id="60" name="Column60" headerRowDxfId="23" dataDxfId="22" totalsRowDxfId="21"/>
    <tableColumn id="61" name="Column61" headerRowDxfId="20" dataDxfId="19" totalsRowDxfId="18"/>
    <tableColumn id="62" name="Column62" headerRowDxfId="17" dataDxfId="16" totalsRowDxfId="15"/>
    <tableColumn id="64" name="Column64" headerRowDxfId="14" dataDxfId="13" totalsRowDxfId="12"/>
    <tableColumn id="65" name="Column65" headerRowDxfId="11" dataDxfId="10" totalsRowDxfId="9"/>
    <tableColumn id="66" name="Column66" headerRowDxfId="8" dataDxfId="7" totalsRowDxfId="6"/>
    <tableColumn id="69" name="Column68" headerRowDxfId="5" dataDxfId="4" totalsRow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tabSelected="1" zoomScaleNormal="100" workbookViewId="0">
      <pane xSplit="4" ySplit="1" topLeftCell="L2" activePane="bottomRight" state="frozen"/>
      <selection pane="topRight" activeCell="E1" sqref="E1"/>
      <selection pane="bottomLeft" activeCell="A2" sqref="A2"/>
      <selection pane="bottomRight" activeCell="Q19" sqref="Q19"/>
    </sheetView>
  </sheetViews>
  <sheetFormatPr defaultRowHeight="15" x14ac:dyDescent="0.25"/>
  <cols>
    <col min="1" max="1" width="6" style="13" customWidth="1"/>
    <col min="2" max="2" width="10.7109375" style="13" customWidth="1"/>
    <col min="3" max="3" width="14.5703125" style="13" customWidth="1"/>
    <col min="4" max="4" width="14.28515625" style="13" customWidth="1"/>
    <col min="5" max="5" width="6.42578125" style="13" customWidth="1"/>
    <col min="6" max="6" width="6.28515625" style="13" customWidth="1"/>
    <col min="7" max="7" width="8.42578125" style="13" bestFit="1" customWidth="1"/>
    <col min="8" max="8" width="7.42578125" style="13" customWidth="1"/>
    <col min="9" max="11" width="6.85546875" style="13" customWidth="1"/>
    <col min="12" max="12" width="8.42578125" style="25" bestFit="1" customWidth="1"/>
    <col min="13" max="13" width="8.42578125" style="15" bestFit="1" customWidth="1"/>
    <col min="14" max="15" width="7" style="13" customWidth="1"/>
    <col min="16" max="16" width="7.28515625" style="13" customWidth="1"/>
    <col min="17" max="17" width="7" style="13" customWidth="1"/>
    <col min="18" max="18" width="9.140625" style="13"/>
    <col min="19" max="19" width="9.28515625" style="13" bestFit="1" customWidth="1"/>
    <col min="20" max="20" width="6.42578125" bestFit="1" customWidth="1"/>
    <col min="21" max="21" width="4.5703125" customWidth="1"/>
  </cols>
  <sheetData>
    <row r="1" spans="1:39" x14ac:dyDescent="0.25">
      <c r="A1" s="28" t="s">
        <v>15</v>
      </c>
      <c r="B1" s="29" t="s">
        <v>2</v>
      </c>
      <c r="C1" s="30" t="s">
        <v>3</v>
      </c>
      <c r="D1" s="30" t="s">
        <v>4</v>
      </c>
      <c r="E1" s="39" t="s">
        <v>30</v>
      </c>
      <c r="F1" s="39" t="s">
        <v>5</v>
      </c>
      <c r="G1" s="31" t="s">
        <v>31</v>
      </c>
      <c r="H1" s="31" t="s">
        <v>14</v>
      </c>
      <c r="I1" s="32" t="s">
        <v>10</v>
      </c>
      <c r="J1" s="40" t="s">
        <v>32</v>
      </c>
      <c r="K1" s="40" t="s">
        <v>16</v>
      </c>
      <c r="L1" s="33" t="s">
        <v>64</v>
      </c>
      <c r="M1" s="34" t="s">
        <v>65</v>
      </c>
      <c r="N1" s="35" t="s">
        <v>13</v>
      </c>
      <c r="O1" s="36" t="s">
        <v>66</v>
      </c>
      <c r="P1" s="36" t="s">
        <v>67</v>
      </c>
      <c r="Q1" s="36" t="s">
        <v>68</v>
      </c>
      <c r="R1" s="36" t="s">
        <v>17</v>
      </c>
      <c r="S1" s="36" t="s">
        <v>29</v>
      </c>
      <c r="T1" s="36" t="s">
        <v>18</v>
      </c>
      <c r="V1" s="17"/>
      <c r="W1" s="67" t="s">
        <v>38</v>
      </c>
      <c r="X1" s="67"/>
      <c r="Y1" s="67"/>
      <c r="Z1" s="6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x14ac:dyDescent="0.25">
      <c r="A2" s="3">
        <v>1</v>
      </c>
      <c r="B2" s="37" t="s">
        <v>40</v>
      </c>
      <c r="C2" s="38" t="s">
        <v>41</v>
      </c>
      <c r="D2" s="38" t="s">
        <v>42</v>
      </c>
      <c r="E2" s="4">
        <v>4</v>
      </c>
      <c r="F2" s="4">
        <v>4</v>
      </c>
      <c r="G2" s="4">
        <v>3</v>
      </c>
      <c r="H2" s="4">
        <v>5</v>
      </c>
      <c r="I2" s="8">
        <v>23</v>
      </c>
      <c r="J2" s="8">
        <v>19</v>
      </c>
      <c r="K2" s="8">
        <v>19</v>
      </c>
      <c r="L2" s="66">
        <v>5</v>
      </c>
      <c r="M2" s="66">
        <v>5</v>
      </c>
      <c r="N2" s="9">
        <v>100</v>
      </c>
      <c r="O2" s="5">
        <v>14</v>
      </c>
      <c r="P2" s="5">
        <v>18</v>
      </c>
      <c r="Q2" s="64">
        <f>IF(Attendance!H3&lt;=0.3,50*(1-Attendance!H3*100/30),0)</f>
        <v>26.190476190476193</v>
      </c>
      <c r="R2" s="8">
        <v>90</v>
      </c>
      <c r="S2" s="71">
        <f>SUM(Grades!$E2:$R2)</f>
        <v>335.1904761904762</v>
      </c>
      <c r="T2" s="11" t="s">
        <v>23</v>
      </c>
      <c r="V2" s="17"/>
      <c r="W2" s="21" t="s">
        <v>18</v>
      </c>
      <c r="X2" s="19" t="s">
        <v>39</v>
      </c>
      <c r="Y2" s="19" t="s">
        <v>28</v>
      </c>
      <c r="Z2" s="19" t="s">
        <v>2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3">
        <v>2</v>
      </c>
      <c r="B3" s="37" t="s">
        <v>43</v>
      </c>
      <c r="C3" s="38" t="s">
        <v>33</v>
      </c>
      <c r="D3" s="38" t="s">
        <v>34</v>
      </c>
      <c r="E3" s="22">
        <v>0</v>
      </c>
      <c r="F3" s="22">
        <v>1</v>
      </c>
      <c r="G3" s="22">
        <v>0</v>
      </c>
      <c r="H3" s="4">
        <v>4</v>
      </c>
      <c r="I3" s="8">
        <v>8</v>
      </c>
      <c r="J3" s="8">
        <v>18</v>
      </c>
      <c r="K3" s="8">
        <v>18</v>
      </c>
      <c r="L3" s="66">
        <v>2</v>
      </c>
      <c r="M3" s="66">
        <v>2</v>
      </c>
      <c r="N3" s="6">
        <v>118</v>
      </c>
      <c r="O3" s="12">
        <v>3</v>
      </c>
      <c r="P3" s="12">
        <v>3</v>
      </c>
      <c r="Q3" s="64">
        <f>IF(Attendance!H4&lt;=0.3,50*(1-Attendance!H4*100/30),0)</f>
        <v>38.095238095238095</v>
      </c>
      <c r="R3" s="7">
        <v>59</v>
      </c>
      <c r="S3" s="71">
        <f>SUM(Grades!$E3:$R3)</f>
        <v>274.09523809523807</v>
      </c>
      <c r="T3" s="11" t="s">
        <v>24</v>
      </c>
      <c r="V3" s="17"/>
      <c r="W3" s="20" t="s">
        <v>11</v>
      </c>
      <c r="X3" s="1" t="s">
        <v>11</v>
      </c>
      <c r="Y3" s="1" t="s">
        <v>11</v>
      </c>
      <c r="Z3" s="1">
        <f>COUNTIF($T$2:$T$13,"NA")</f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">
        <v>3</v>
      </c>
      <c r="B4" s="37" t="s">
        <v>44</v>
      </c>
      <c r="C4" s="38" t="s">
        <v>45</v>
      </c>
      <c r="D4" s="38" t="s">
        <v>46</v>
      </c>
      <c r="E4" s="4">
        <v>0</v>
      </c>
      <c r="F4" s="4">
        <v>1</v>
      </c>
      <c r="G4" s="4">
        <v>1</v>
      </c>
      <c r="H4" s="4">
        <v>1</v>
      </c>
      <c r="I4" s="8">
        <v>10</v>
      </c>
      <c r="J4" s="8">
        <v>12</v>
      </c>
      <c r="K4" s="8">
        <v>12</v>
      </c>
      <c r="L4" s="65">
        <v>3</v>
      </c>
      <c r="M4" s="65">
        <v>3</v>
      </c>
      <c r="N4" s="9">
        <v>38</v>
      </c>
      <c r="O4" s="10">
        <v>5</v>
      </c>
      <c r="P4" s="10">
        <v>5</v>
      </c>
      <c r="Q4" s="64">
        <f>IF(Attendance!H5&lt;=0.3,50*(1-Attendance!H5*100/30),0)</f>
        <v>10.31746031746032</v>
      </c>
      <c r="R4" s="8">
        <v>65</v>
      </c>
      <c r="S4" s="71">
        <f>SUM(Grades!$E4:$R4)</f>
        <v>166.3174603174603</v>
      </c>
      <c r="T4" s="11" t="s">
        <v>26</v>
      </c>
      <c r="V4" s="17"/>
      <c r="W4" s="20" t="s">
        <v>27</v>
      </c>
      <c r="X4" s="2">
        <f>$S14-3*$S$17/2</f>
        <v>148.62914635162838</v>
      </c>
      <c r="Y4" s="2">
        <v>0</v>
      </c>
      <c r="Z4" s="1">
        <f>COUNTIF($T$2:$T$13,"FF")</f>
        <v>0</v>
      </c>
      <c r="AA4" s="17"/>
      <c r="AB4" s="17"/>
      <c r="AC4" s="17"/>
      <c r="AD4" s="27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3">
        <v>4</v>
      </c>
      <c r="B5" s="37" t="s">
        <v>47</v>
      </c>
      <c r="C5" s="38" t="s">
        <v>35</v>
      </c>
      <c r="D5" s="38" t="s">
        <v>36</v>
      </c>
      <c r="E5" s="4">
        <v>0</v>
      </c>
      <c r="F5" s="4">
        <v>1</v>
      </c>
      <c r="G5" s="4">
        <v>0</v>
      </c>
      <c r="H5" s="4">
        <v>1</v>
      </c>
      <c r="I5" s="8">
        <v>62</v>
      </c>
      <c r="J5" s="8">
        <v>3</v>
      </c>
      <c r="K5" s="8">
        <v>3</v>
      </c>
      <c r="L5" s="66">
        <v>1</v>
      </c>
      <c r="M5" s="66">
        <v>1</v>
      </c>
      <c r="N5" s="9">
        <v>93</v>
      </c>
      <c r="O5" s="12">
        <v>1</v>
      </c>
      <c r="P5" s="12">
        <v>1</v>
      </c>
      <c r="Q5" s="64">
        <f>IF(Attendance!H6&lt;=0.3,50*(1-Attendance!H6*100/30),0)</f>
        <v>10.31746031746032</v>
      </c>
      <c r="R5" s="8">
        <v>49</v>
      </c>
      <c r="S5" s="71">
        <f>SUM(Grades!$E5:$R5)</f>
        <v>226.31746031746033</v>
      </c>
      <c r="T5" s="11" t="s">
        <v>25</v>
      </c>
      <c r="V5" s="17"/>
      <c r="W5" s="20" t="s">
        <v>26</v>
      </c>
      <c r="X5" s="2">
        <f>$S14-2*$S$17/2</f>
        <v>210.51334624500092</v>
      </c>
      <c r="Y5" s="2">
        <f>$S$14-3*$S$17/2</f>
        <v>148.62914635162838</v>
      </c>
      <c r="Z5" s="1">
        <f>COUNTIF($T$2:$T$13,"FD")</f>
        <v>2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">
        <v>5</v>
      </c>
      <c r="B6" s="37" t="s">
        <v>48</v>
      </c>
      <c r="C6" s="38" t="s">
        <v>49</v>
      </c>
      <c r="D6" s="38" t="s">
        <v>50</v>
      </c>
      <c r="E6" s="4">
        <v>8</v>
      </c>
      <c r="F6" s="4">
        <v>8</v>
      </c>
      <c r="G6" s="4">
        <v>1</v>
      </c>
      <c r="H6" s="4">
        <v>2</v>
      </c>
      <c r="I6" s="8">
        <v>20</v>
      </c>
      <c r="J6" s="8">
        <v>20</v>
      </c>
      <c r="K6" s="8">
        <v>20</v>
      </c>
      <c r="L6" s="66">
        <v>20</v>
      </c>
      <c r="M6" s="66">
        <v>20</v>
      </c>
      <c r="N6" s="9">
        <v>135</v>
      </c>
      <c r="O6" s="10">
        <v>18</v>
      </c>
      <c r="P6" s="10">
        <v>18</v>
      </c>
      <c r="Q6" s="64">
        <f>IF(Attendance!H7&lt;=0.3,50*(1-Attendance!H7*100/30),0)</f>
        <v>38.095238095238095</v>
      </c>
      <c r="R6" s="8">
        <v>150</v>
      </c>
      <c r="S6" s="71">
        <f>SUM(Grades!$E6:$R6)</f>
        <v>478.09523809523807</v>
      </c>
      <c r="T6" s="11" t="s">
        <v>21</v>
      </c>
      <c r="V6" s="17"/>
      <c r="W6" s="20" t="s">
        <v>25</v>
      </c>
      <c r="X6" s="2">
        <f>$S14-$S$17/2</f>
        <v>272.39754613837346</v>
      </c>
      <c r="Y6" s="2">
        <f>$S$14-2*$S$17/2</f>
        <v>210.51334624500092</v>
      </c>
      <c r="Z6" s="1">
        <f>COUNTIF($T$2:$T$13,"DD")</f>
        <v>2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">
        <v>6</v>
      </c>
      <c r="B7" s="37" t="s">
        <v>51</v>
      </c>
      <c r="C7" s="38" t="s">
        <v>1</v>
      </c>
      <c r="D7" s="38" t="s">
        <v>37</v>
      </c>
      <c r="E7" s="4">
        <v>15</v>
      </c>
      <c r="F7" s="4">
        <v>15</v>
      </c>
      <c r="G7" s="4">
        <v>14</v>
      </c>
      <c r="H7" s="4">
        <v>18</v>
      </c>
      <c r="I7" s="8">
        <v>45</v>
      </c>
      <c r="J7" s="8">
        <v>20</v>
      </c>
      <c r="K7" s="8">
        <v>20</v>
      </c>
      <c r="L7" s="66">
        <v>16</v>
      </c>
      <c r="M7" s="66">
        <v>16</v>
      </c>
      <c r="N7" s="6">
        <v>68</v>
      </c>
      <c r="O7" s="10">
        <v>14</v>
      </c>
      <c r="P7" s="10">
        <v>18</v>
      </c>
      <c r="Q7" s="64">
        <f>IF(Attendance!H8&lt;=0.3,50*(1-Attendance!H8*100/30),0)</f>
        <v>46.031746031746032</v>
      </c>
      <c r="R7" s="7">
        <v>100</v>
      </c>
      <c r="S7" s="71">
        <f>SUM(Grades!$E7:$R7)</f>
        <v>425.03174603174602</v>
      </c>
      <c r="T7" s="11" t="s">
        <v>22</v>
      </c>
      <c r="V7" s="17"/>
      <c r="W7" s="20" t="s">
        <v>24</v>
      </c>
      <c r="X7" s="2">
        <f>$S14</f>
        <v>334.28174603174597</v>
      </c>
      <c r="Y7" s="2">
        <f>$S$14-$S$17/2</f>
        <v>272.39754613837346</v>
      </c>
      <c r="Z7" s="1">
        <f>COUNTIF($T$2:$T$13,"DC")</f>
        <v>1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6.5" customHeight="1" x14ac:dyDescent="0.25">
      <c r="A8" s="3">
        <v>7</v>
      </c>
      <c r="B8" s="37" t="s">
        <v>52</v>
      </c>
      <c r="C8" s="38" t="s">
        <v>53</v>
      </c>
      <c r="D8" s="38" t="s">
        <v>54</v>
      </c>
      <c r="E8" s="4">
        <v>0</v>
      </c>
      <c r="F8" s="4">
        <v>2</v>
      </c>
      <c r="G8" s="4">
        <v>5</v>
      </c>
      <c r="H8" s="4">
        <v>10</v>
      </c>
      <c r="I8" s="8">
        <v>42</v>
      </c>
      <c r="J8" s="8">
        <v>19</v>
      </c>
      <c r="K8" s="8">
        <v>19</v>
      </c>
      <c r="L8" s="66">
        <v>14</v>
      </c>
      <c r="M8" s="66">
        <v>17</v>
      </c>
      <c r="N8" s="6">
        <v>108</v>
      </c>
      <c r="O8" s="10">
        <v>11</v>
      </c>
      <c r="P8" s="10">
        <v>18</v>
      </c>
      <c r="Q8" s="64">
        <f>IF(Attendance!H9&lt;=0.3,50*(1-Attendance!H9*100/30),0)</f>
        <v>22.222222222222225</v>
      </c>
      <c r="R8" s="7">
        <v>85</v>
      </c>
      <c r="S8" s="71">
        <f>SUM(Grades!$E8:$R8)</f>
        <v>372.22222222222223</v>
      </c>
      <c r="T8" s="11" t="s">
        <v>23</v>
      </c>
      <c r="V8" s="17"/>
      <c r="W8" s="20" t="s">
        <v>23</v>
      </c>
      <c r="X8" s="2">
        <f>$S$14+$S$17/2</f>
        <v>396.16594592511848</v>
      </c>
      <c r="Y8" s="2">
        <f>$S$14</f>
        <v>334.28174603174597</v>
      </c>
      <c r="Z8" s="1">
        <f>COUNTIF($T$2:$T$13,"CC")</f>
        <v>3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15" customHeight="1" x14ac:dyDescent="0.25">
      <c r="A9" s="3">
        <v>8</v>
      </c>
      <c r="B9" s="37" t="s">
        <v>55</v>
      </c>
      <c r="C9" s="38" t="s">
        <v>56</v>
      </c>
      <c r="D9" s="38" t="s">
        <v>57</v>
      </c>
      <c r="E9" s="4">
        <v>0</v>
      </c>
      <c r="F9" s="4" t="s">
        <v>11</v>
      </c>
      <c r="G9" s="4">
        <v>10</v>
      </c>
      <c r="H9" s="4">
        <v>15</v>
      </c>
      <c r="I9" s="8">
        <v>135</v>
      </c>
      <c r="J9" s="8">
        <v>18</v>
      </c>
      <c r="K9" s="8">
        <v>18</v>
      </c>
      <c r="L9" s="65">
        <v>0</v>
      </c>
      <c r="M9" s="65">
        <v>2</v>
      </c>
      <c r="N9" s="9">
        <v>155</v>
      </c>
      <c r="O9" s="10">
        <v>13</v>
      </c>
      <c r="P9" s="10">
        <v>19</v>
      </c>
      <c r="Q9" s="64">
        <f>IF(Attendance!H10&lt;=0.3,50*(1-Attendance!H10*100/30),0)</f>
        <v>2.3809523809523836</v>
      </c>
      <c r="R9" s="8">
        <v>174</v>
      </c>
      <c r="S9" s="71">
        <f>SUM(Grades!$E9:$R9)</f>
        <v>561.38095238095241</v>
      </c>
      <c r="T9" s="11" t="s">
        <v>20</v>
      </c>
      <c r="V9" s="17"/>
      <c r="W9" s="20" t="s">
        <v>22</v>
      </c>
      <c r="X9" s="2">
        <f>$S$14+2*$S$17/2</f>
        <v>458.05014581849105</v>
      </c>
      <c r="Y9" s="2">
        <f>$S$14+$S$17/2</f>
        <v>396.16594592511848</v>
      </c>
      <c r="Z9" s="1">
        <f>COUNTIF($T$2:$T$13,"CB")</f>
        <v>2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3">
        <v>9</v>
      </c>
      <c r="B10" s="37" t="s">
        <v>58</v>
      </c>
      <c r="C10" s="38" t="s">
        <v>59</v>
      </c>
      <c r="D10" s="38" t="s">
        <v>60</v>
      </c>
      <c r="E10" s="22">
        <v>0</v>
      </c>
      <c r="F10" s="22" t="s">
        <v>11</v>
      </c>
      <c r="G10" s="22">
        <v>0</v>
      </c>
      <c r="H10" s="4">
        <v>8</v>
      </c>
      <c r="I10" s="8">
        <v>70</v>
      </c>
      <c r="J10" s="8">
        <v>19</v>
      </c>
      <c r="K10" s="8">
        <v>19</v>
      </c>
      <c r="L10" s="65">
        <v>3</v>
      </c>
      <c r="M10" s="65">
        <v>3</v>
      </c>
      <c r="N10" s="9">
        <v>133</v>
      </c>
      <c r="O10" s="10">
        <v>2</v>
      </c>
      <c r="P10" s="10">
        <v>2</v>
      </c>
      <c r="Q10" s="64">
        <f>IF(Attendance!H11&lt;=0.3,50*(1-Attendance!H11*100/30),0)</f>
        <v>30.158730158730162</v>
      </c>
      <c r="R10" s="8">
        <v>128</v>
      </c>
      <c r="S10" s="71">
        <f>SUM(Grades!$E10:$R10)</f>
        <v>417.15873015873018</v>
      </c>
      <c r="T10" s="11" t="s">
        <v>22</v>
      </c>
      <c r="V10" s="17"/>
      <c r="W10" s="20" t="s">
        <v>21</v>
      </c>
      <c r="X10" s="2">
        <f>$S$14+3*$S$17/2</f>
        <v>519.93434571186356</v>
      </c>
      <c r="Y10" s="2">
        <f>$S$14+2*$S$17/2</f>
        <v>458.05014581849105</v>
      </c>
      <c r="Z10" s="1">
        <f>COUNTIF($T$2:$T$13,"BB")</f>
        <v>1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3">
        <v>10</v>
      </c>
      <c r="B11" s="37" t="s">
        <v>61</v>
      </c>
      <c r="C11" s="38" t="s">
        <v>62</v>
      </c>
      <c r="D11" s="38" t="s">
        <v>12</v>
      </c>
      <c r="E11" s="4">
        <v>1</v>
      </c>
      <c r="F11" s="4">
        <v>1</v>
      </c>
      <c r="G11" s="4">
        <v>0</v>
      </c>
      <c r="H11" s="4">
        <v>1</v>
      </c>
      <c r="I11" s="8">
        <v>42</v>
      </c>
      <c r="J11" s="8">
        <v>19</v>
      </c>
      <c r="K11" s="8">
        <v>19</v>
      </c>
      <c r="L11" s="65">
        <v>6</v>
      </c>
      <c r="M11" s="65">
        <v>6</v>
      </c>
      <c r="N11" s="9">
        <v>5</v>
      </c>
      <c r="O11" s="10">
        <v>5</v>
      </c>
      <c r="P11" s="10">
        <v>7</v>
      </c>
      <c r="Q11" s="64">
        <f>IF(Attendance!H12&lt;=0.3,50*(1-Attendance!H12*100/30),0)</f>
        <v>10.31746031746032</v>
      </c>
      <c r="R11" s="8">
        <v>41</v>
      </c>
      <c r="S11" s="71">
        <f>SUM(Grades!$E11:$R11)</f>
        <v>163.3174603174603</v>
      </c>
      <c r="T11" s="11" t="s">
        <v>26</v>
      </c>
      <c r="V11" s="17"/>
      <c r="W11" s="20" t="s">
        <v>20</v>
      </c>
      <c r="X11" s="2">
        <f>$S$14+4*$S$17/2</f>
        <v>581.81854560523607</v>
      </c>
      <c r="Y11" s="2">
        <f>$S$14+3*$S$17/2</f>
        <v>519.93434571186356</v>
      </c>
      <c r="Z11" s="1">
        <f>COUNTIF($T$2:$T$13,"BA")</f>
        <v>1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3">
        <v>11</v>
      </c>
      <c r="B12" s="37">
        <v>201219402</v>
      </c>
      <c r="C12" s="38" t="s">
        <v>0</v>
      </c>
      <c r="D12" s="38" t="s">
        <v>63</v>
      </c>
      <c r="E12" s="4">
        <v>2</v>
      </c>
      <c r="F12" s="4">
        <v>2</v>
      </c>
      <c r="G12" s="4">
        <v>10</v>
      </c>
      <c r="H12" s="4">
        <v>18</v>
      </c>
      <c r="I12" s="8">
        <v>23</v>
      </c>
      <c r="J12" s="8">
        <v>20</v>
      </c>
      <c r="K12" s="8">
        <v>20</v>
      </c>
      <c r="L12" s="65">
        <v>10</v>
      </c>
      <c r="M12" s="65">
        <v>15</v>
      </c>
      <c r="N12" s="9">
        <v>35</v>
      </c>
      <c r="O12" s="10">
        <v>1</v>
      </c>
      <c r="P12" s="10">
        <v>1</v>
      </c>
      <c r="Q12" s="64">
        <f>IF(Attendance!H13&lt;=0.3,50*(1-Attendance!H13*100/30),0)</f>
        <v>50</v>
      </c>
      <c r="R12" s="8">
        <v>44</v>
      </c>
      <c r="S12" s="71">
        <f>SUM(Grades!$E12:$R12)</f>
        <v>251</v>
      </c>
      <c r="T12" s="11" t="s">
        <v>25</v>
      </c>
      <c r="V12" s="17"/>
      <c r="W12" s="20" t="s">
        <v>19</v>
      </c>
      <c r="X12" s="2">
        <v>1000</v>
      </c>
      <c r="Y12" s="2">
        <f>$S$14+4*$S$17/2</f>
        <v>581.81854560523607</v>
      </c>
      <c r="Z12" s="1">
        <f>COUNTIF($T$2:$T$13,"AA")</f>
        <v>0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3">
        <v>12</v>
      </c>
      <c r="B13" s="37" t="s">
        <v>77</v>
      </c>
      <c r="C13" s="38" t="s">
        <v>81</v>
      </c>
      <c r="D13" s="38" t="s">
        <v>79</v>
      </c>
      <c r="E13" s="4">
        <v>1</v>
      </c>
      <c r="F13" s="4">
        <v>7</v>
      </c>
      <c r="G13" s="4">
        <v>6</v>
      </c>
      <c r="H13" s="4">
        <v>10</v>
      </c>
      <c r="I13" s="8">
        <v>40</v>
      </c>
      <c r="J13" s="8">
        <v>15</v>
      </c>
      <c r="K13" s="8">
        <v>19</v>
      </c>
      <c r="L13" s="65">
        <v>12</v>
      </c>
      <c r="M13" s="65">
        <v>12</v>
      </c>
      <c r="N13" s="9">
        <v>85</v>
      </c>
      <c r="O13" s="10">
        <v>3</v>
      </c>
      <c r="P13" s="10">
        <v>3</v>
      </c>
      <c r="Q13" s="64">
        <f>IF(Attendance!H14&lt;=0.3,50*(1-Attendance!H14*100/30),0)</f>
        <v>18.253968253968257</v>
      </c>
      <c r="R13" s="8">
        <v>110</v>
      </c>
      <c r="S13" s="71">
        <f>SUM(Grades!$E13:$R13)</f>
        <v>341.25396825396825</v>
      </c>
      <c r="T13" s="11" t="s">
        <v>23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5.75" x14ac:dyDescent="0.25">
      <c r="D14" s="18" t="s">
        <v>6</v>
      </c>
      <c r="E14" s="26">
        <f t="shared" ref="E14:S14" si="0">AVERAGE(E2:E13)</f>
        <v>2.5833333333333335</v>
      </c>
      <c r="F14" s="26">
        <f t="shared" si="0"/>
        <v>4.2</v>
      </c>
      <c r="G14" s="26">
        <f t="shared" si="0"/>
        <v>4.166666666666667</v>
      </c>
      <c r="H14" s="16">
        <f t="shared" si="0"/>
        <v>7.75</v>
      </c>
      <c r="I14" s="16">
        <f t="shared" si="0"/>
        <v>43.333333333333336</v>
      </c>
      <c r="J14" s="24">
        <f t="shared" si="0"/>
        <v>16.833333333333332</v>
      </c>
      <c r="K14" s="24">
        <f t="shared" si="0"/>
        <v>17.166666666666668</v>
      </c>
      <c r="L14" s="24">
        <f t="shared" si="0"/>
        <v>7.666666666666667</v>
      </c>
      <c r="M14" s="16">
        <f t="shared" si="0"/>
        <v>8.5</v>
      </c>
      <c r="N14" s="16">
        <f t="shared" si="0"/>
        <v>89.416666666666671</v>
      </c>
      <c r="O14" s="16">
        <f t="shared" si="0"/>
        <v>7.5</v>
      </c>
      <c r="P14" s="16">
        <f t="shared" si="0"/>
        <v>9.4166666666666661</v>
      </c>
      <c r="Q14" s="16">
        <f t="shared" si="0"/>
        <v>25.198412698412696</v>
      </c>
      <c r="R14" s="16">
        <f t="shared" si="0"/>
        <v>91.25</v>
      </c>
      <c r="S14" s="16">
        <f t="shared" si="0"/>
        <v>334.28174603174597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5.75" x14ac:dyDescent="0.25">
      <c r="D15" s="18" t="s">
        <v>7</v>
      </c>
      <c r="E15" s="26">
        <f t="shared" ref="E15:S15" si="1">MAX(E2:E13)</f>
        <v>15</v>
      </c>
      <c r="F15" s="26">
        <f t="shared" si="1"/>
        <v>15</v>
      </c>
      <c r="G15" s="26">
        <f t="shared" si="1"/>
        <v>14</v>
      </c>
      <c r="H15" s="16">
        <f t="shared" si="1"/>
        <v>18</v>
      </c>
      <c r="I15" s="16">
        <f t="shared" si="1"/>
        <v>135</v>
      </c>
      <c r="J15" s="24">
        <f t="shared" si="1"/>
        <v>20</v>
      </c>
      <c r="K15" s="24">
        <f t="shared" si="1"/>
        <v>20</v>
      </c>
      <c r="L15" s="24">
        <f t="shared" si="1"/>
        <v>20</v>
      </c>
      <c r="M15" s="16">
        <f t="shared" si="1"/>
        <v>20</v>
      </c>
      <c r="N15" s="16">
        <f t="shared" si="1"/>
        <v>155</v>
      </c>
      <c r="O15" s="16">
        <f t="shared" si="1"/>
        <v>18</v>
      </c>
      <c r="P15" s="16">
        <f t="shared" si="1"/>
        <v>19</v>
      </c>
      <c r="Q15" s="16">
        <f t="shared" si="1"/>
        <v>50</v>
      </c>
      <c r="R15" s="16">
        <f t="shared" si="1"/>
        <v>174</v>
      </c>
      <c r="S15" s="16">
        <f t="shared" si="1"/>
        <v>561.38095238095241</v>
      </c>
      <c r="T15" s="17"/>
    </row>
    <row r="16" spans="1:39" ht="15.75" x14ac:dyDescent="0.25">
      <c r="D16" s="18" t="s">
        <v>8</v>
      </c>
      <c r="E16" s="26">
        <f t="shared" ref="E16:S16" si="2">MIN(E2:E13)</f>
        <v>0</v>
      </c>
      <c r="F16" s="26">
        <f t="shared" si="2"/>
        <v>1</v>
      </c>
      <c r="G16" s="26">
        <f t="shared" si="2"/>
        <v>0</v>
      </c>
      <c r="H16" s="16">
        <f t="shared" si="2"/>
        <v>1</v>
      </c>
      <c r="I16" s="16">
        <f t="shared" si="2"/>
        <v>8</v>
      </c>
      <c r="J16" s="24">
        <f t="shared" si="2"/>
        <v>3</v>
      </c>
      <c r="K16" s="24">
        <f t="shared" si="2"/>
        <v>3</v>
      </c>
      <c r="L16" s="24">
        <f t="shared" si="2"/>
        <v>0</v>
      </c>
      <c r="M16" s="16">
        <f t="shared" si="2"/>
        <v>1</v>
      </c>
      <c r="N16" s="16">
        <f t="shared" si="2"/>
        <v>5</v>
      </c>
      <c r="O16" s="16">
        <f t="shared" si="2"/>
        <v>1</v>
      </c>
      <c r="P16" s="16">
        <f t="shared" si="2"/>
        <v>1</v>
      </c>
      <c r="Q16" s="16">
        <f t="shared" si="2"/>
        <v>2.3809523809523836</v>
      </c>
      <c r="R16" s="16">
        <f t="shared" si="2"/>
        <v>41</v>
      </c>
      <c r="S16" s="16">
        <f t="shared" si="2"/>
        <v>163.3174603174603</v>
      </c>
      <c r="T16" s="17"/>
    </row>
    <row r="17" spans="4:20" ht="15.75" x14ac:dyDescent="0.25">
      <c r="D17" s="18" t="s">
        <v>9</v>
      </c>
      <c r="E17" s="26">
        <f>STDEV(E2:E13)</f>
        <v>4.5817490374773087</v>
      </c>
      <c r="F17" s="26">
        <f>STDEV(F2:F13)</f>
        <v>4.5898438608156011</v>
      </c>
      <c r="G17" s="26">
        <f>STDEV(G2:G13)</f>
        <v>4.8586068585614743</v>
      </c>
      <c r="H17" s="16">
        <f>STDEV(H2:H13)</f>
        <v>6.4965025555713787</v>
      </c>
      <c r="I17" s="26">
        <f>STDEVP(I2:I13)</f>
        <v>33.17964570167814</v>
      </c>
      <c r="J17" s="24">
        <f t="shared" ref="J17:S17" si="3">STDEV(J2:J13)</f>
        <v>4.951277765905636</v>
      </c>
      <c r="K17" s="24">
        <f t="shared" si="3"/>
        <v>4.951277765905636</v>
      </c>
      <c r="L17" s="24">
        <f t="shared" si="3"/>
        <v>6.5689812871947773</v>
      </c>
      <c r="M17" s="16">
        <f t="shared" si="3"/>
        <v>6.9739776050947881</v>
      </c>
      <c r="N17" s="16">
        <f t="shared" si="3"/>
        <v>45.50216445068267</v>
      </c>
      <c r="O17" s="16">
        <f t="shared" si="3"/>
        <v>6.0677987621691791</v>
      </c>
      <c r="P17" s="16">
        <f t="shared" si="3"/>
        <v>7.9253142562680798</v>
      </c>
      <c r="Q17" s="16">
        <f t="shared" si="3"/>
        <v>15.519604626500309</v>
      </c>
      <c r="R17" s="16">
        <f t="shared" si="3"/>
        <v>43.054141390917216</v>
      </c>
      <c r="S17" s="16">
        <f t="shared" si="3"/>
        <v>123.76839978674505</v>
      </c>
      <c r="T17" s="17"/>
    </row>
    <row r="18" spans="4:20" x14ac:dyDescent="0.25">
      <c r="E18" s="13">
        <v>20</v>
      </c>
      <c r="F18" s="13">
        <v>20</v>
      </c>
      <c r="G18" s="23">
        <v>20</v>
      </c>
      <c r="H18" s="23">
        <v>20</v>
      </c>
      <c r="I18" s="23">
        <v>200</v>
      </c>
      <c r="J18" s="23">
        <v>20</v>
      </c>
      <c r="K18" s="23">
        <v>20</v>
      </c>
      <c r="L18" s="23">
        <v>20</v>
      </c>
      <c r="M18" s="14">
        <v>20</v>
      </c>
      <c r="N18" s="23">
        <v>250</v>
      </c>
      <c r="O18" s="23">
        <v>20</v>
      </c>
      <c r="P18" s="23">
        <v>20</v>
      </c>
      <c r="Q18" s="23">
        <v>50</v>
      </c>
      <c r="R18" s="23">
        <v>350</v>
      </c>
      <c r="S18" s="23">
        <f>SUM(E18:R18)</f>
        <v>1050</v>
      </c>
    </row>
  </sheetData>
  <mergeCells count="1">
    <mergeCell ref="W1:Z1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"/>
  <sheetViews>
    <sheetView zoomScaleNormal="100" workbookViewId="0">
      <pane xSplit="8" ySplit="2" topLeftCell="AD3" activePane="bottomRight" state="frozen"/>
      <selection pane="topRight" activeCell="L1" sqref="L1"/>
      <selection pane="bottomLeft" activeCell="A6" sqref="A6"/>
      <selection pane="bottomRight" activeCell="H14" sqref="H14"/>
    </sheetView>
  </sheetViews>
  <sheetFormatPr defaultRowHeight="15" x14ac:dyDescent="0.25"/>
  <cols>
    <col min="1" max="1" width="3" style="43" bestFit="1" customWidth="1"/>
    <col min="2" max="2" width="9.5703125" style="43" customWidth="1"/>
    <col min="3" max="3" width="12.85546875" style="43" customWidth="1"/>
    <col min="4" max="4" width="11.85546875" style="43" customWidth="1"/>
    <col min="5" max="5" width="7.5703125" style="42" bestFit="1" customWidth="1"/>
    <col min="6" max="6" width="5.42578125" style="42" customWidth="1"/>
    <col min="7" max="7" width="7.28515625" style="42" customWidth="1"/>
    <col min="8" max="8" width="10.140625" style="42" bestFit="1" customWidth="1"/>
    <col min="9" max="10" width="3.7109375" style="43" customWidth="1"/>
    <col min="11" max="11" width="6.5703125" style="43" customWidth="1"/>
    <col min="12" max="13" width="3.7109375" style="43" customWidth="1"/>
    <col min="14" max="14" width="6" style="43" customWidth="1"/>
    <col min="15" max="16" width="3.7109375" style="43" customWidth="1"/>
    <col min="17" max="17" width="7.140625" style="43" customWidth="1"/>
    <col min="18" max="19" width="3.7109375" style="43" customWidth="1"/>
    <col min="20" max="20" width="6" style="43" customWidth="1"/>
    <col min="21" max="22" width="3.7109375" style="43" customWidth="1"/>
    <col min="23" max="23" width="5.5703125" style="43" customWidth="1"/>
    <col min="24" max="25" width="3.7109375" style="43" customWidth="1"/>
    <col min="26" max="26" width="6.28515625" style="43" customWidth="1"/>
    <col min="27" max="28" width="3.7109375" style="43" customWidth="1"/>
    <col min="29" max="29" width="6.28515625" style="43" customWidth="1"/>
    <col min="30" max="31" width="3.7109375" style="43" customWidth="1"/>
    <col min="32" max="32" width="6.28515625" style="43" customWidth="1"/>
    <col min="33" max="34" width="3.7109375" style="43" customWidth="1"/>
    <col min="35" max="35" width="5.85546875" style="43" customWidth="1"/>
    <col min="36" max="37" width="3.7109375" style="43" customWidth="1"/>
    <col min="38" max="38" width="5.85546875" style="43" customWidth="1"/>
    <col min="39" max="40" width="3.7109375" style="43" customWidth="1"/>
    <col min="41" max="41" width="6.42578125" style="43" customWidth="1"/>
    <col min="42" max="43" width="3.7109375" style="43" customWidth="1"/>
    <col min="44" max="44" width="5.85546875" style="43" customWidth="1"/>
    <col min="45" max="46" width="3.7109375" style="43" customWidth="1"/>
    <col min="47" max="47" width="5.85546875" style="43" customWidth="1"/>
    <col min="48" max="49" width="3.7109375" style="43" customWidth="1"/>
    <col min="50" max="50" width="5.85546875" style="43" customWidth="1"/>
    <col min="51" max="16384" width="9.140625" style="43"/>
  </cols>
  <sheetData>
    <row r="1" spans="1:51" ht="29.25" customHeight="1" x14ac:dyDescent="0.25">
      <c r="A1" s="69" t="s">
        <v>69</v>
      </c>
      <c r="B1" s="70"/>
      <c r="C1" s="70"/>
      <c r="D1" s="70"/>
      <c r="E1" s="70"/>
      <c r="F1" s="41">
        <f>SUM(I1:AX1)</f>
        <v>42</v>
      </c>
      <c r="G1" s="41">
        <f>$F$1-F1</f>
        <v>0</v>
      </c>
      <c r="H1" s="42">
        <v>70</v>
      </c>
      <c r="I1" s="42">
        <v>1</v>
      </c>
      <c r="J1" s="42">
        <v>1</v>
      </c>
      <c r="K1" s="42">
        <v>1</v>
      </c>
      <c r="L1" s="42">
        <v>1</v>
      </c>
      <c r="M1" s="42">
        <v>1</v>
      </c>
      <c r="N1" s="42">
        <v>1</v>
      </c>
      <c r="O1" s="42">
        <v>1</v>
      </c>
      <c r="P1" s="42">
        <v>1</v>
      </c>
      <c r="Q1" s="42">
        <v>1</v>
      </c>
      <c r="R1" s="42">
        <v>1</v>
      </c>
      <c r="S1" s="42">
        <v>1</v>
      </c>
      <c r="T1" s="42">
        <v>1</v>
      </c>
      <c r="U1" s="42">
        <v>1</v>
      </c>
      <c r="V1" s="42">
        <v>1</v>
      </c>
      <c r="W1" s="42">
        <v>1</v>
      </c>
      <c r="X1" s="42">
        <v>1</v>
      </c>
      <c r="Y1" s="42">
        <v>1</v>
      </c>
      <c r="Z1" s="42">
        <v>1</v>
      </c>
      <c r="AA1" s="42">
        <v>1</v>
      </c>
      <c r="AB1" s="42">
        <v>1</v>
      </c>
      <c r="AC1" s="42">
        <v>1</v>
      </c>
      <c r="AD1" s="42">
        <v>1</v>
      </c>
      <c r="AE1" s="42">
        <v>1</v>
      </c>
      <c r="AF1" s="42">
        <v>1</v>
      </c>
      <c r="AG1" s="42">
        <v>1</v>
      </c>
      <c r="AH1" s="42">
        <v>1</v>
      </c>
      <c r="AI1" s="42">
        <v>1</v>
      </c>
      <c r="AJ1" s="42">
        <v>1</v>
      </c>
      <c r="AK1" s="42">
        <v>1</v>
      </c>
      <c r="AL1" s="42">
        <v>1</v>
      </c>
      <c r="AM1" s="42">
        <v>1</v>
      </c>
      <c r="AN1" s="42">
        <v>1</v>
      </c>
      <c r="AO1" s="42">
        <v>1</v>
      </c>
      <c r="AP1" s="42">
        <v>1</v>
      </c>
      <c r="AQ1" s="42">
        <v>1</v>
      </c>
      <c r="AR1" s="42">
        <v>1</v>
      </c>
      <c r="AS1" s="42">
        <v>1</v>
      </c>
      <c r="AT1" s="42">
        <v>1</v>
      </c>
      <c r="AU1" s="42">
        <v>1</v>
      </c>
      <c r="AV1" s="42">
        <v>1</v>
      </c>
      <c r="AW1" s="42">
        <v>1</v>
      </c>
      <c r="AX1" s="42">
        <v>1</v>
      </c>
    </row>
    <row r="2" spans="1:51" s="49" customFormat="1" ht="60" x14ac:dyDescent="0.25">
      <c r="A2" s="44"/>
      <c r="B2" s="44" t="s">
        <v>2</v>
      </c>
      <c r="C2" s="44" t="s">
        <v>3</v>
      </c>
      <c r="D2" s="44"/>
      <c r="E2" s="45" t="s">
        <v>70</v>
      </c>
      <c r="F2" s="46" t="s">
        <v>71</v>
      </c>
      <c r="G2" s="46" t="s">
        <v>72</v>
      </c>
      <c r="H2" s="46" t="s">
        <v>73</v>
      </c>
      <c r="I2" s="68">
        <v>41318</v>
      </c>
      <c r="J2" s="68"/>
      <c r="K2" s="47">
        <v>41321</v>
      </c>
      <c r="L2" s="68">
        <v>41325</v>
      </c>
      <c r="M2" s="68"/>
      <c r="N2" s="47">
        <v>41327</v>
      </c>
      <c r="O2" s="68">
        <v>41332</v>
      </c>
      <c r="P2" s="68"/>
      <c r="Q2" s="47">
        <v>41334</v>
      </c>
      <c r="R2" s="68">
        <v>41339</v>
      </c>
      <c r="S2" s="68"/>
      <c r="T2" s="47">
        <v>41341</v>
      </c>
      <c r="U2" s="68">
        <v>41346</v>
      </c>
      <c r="V2" s="68"/>
      <c r="W2" s="47">
        <v>41348</v>
      </c>
      <c r="X2" s="68">
        <v>41353</v>
      </c>
      <c r="Y2" s="68"/>
      <c r="Z2" s="47">
        <v>41355</v>
      </c>
      <c r="AA2" s="68">
        <v>41360</v>
      </c>
      <c r="AB2" s="68"/>
      <c r="AC2" s="47">
        <v>41362</v>
      </c>
      <c r="AD2" s="68">
        <v>41367</v>
      </c>
      <c r="AE2" s="68"/>
      <c r="AF2" s="47">
        <v>41369</v>
      </c>
      <c r="AG2" s="68">
        <v>41374</v>
      </c>
      <c r="AH2" s="68"/>
      <c r="AI2" s="47">
        <v>41376</v>
      </c>
      <c r="AJ2" s="68">
        <v>41381</v>
      </c>
      <c r="AK2" s="68"/>
      <c r="AL2" s="47">
        <v>41383</v>
      </c>
      <c r="AM2" s="68">
        <v>41388</v>
      </c>
      <c r="AN2" s="68"/>
      <c r="AO2" s="47">
        <v>41390</v>
      </c>
      <c r="AP2" s="68">
        <v>41395</v>
      </c>
      <c r="AQ2" s="68"/>
      <c r="AR2" s="47">
        <v>41397</v>
      </c>
      <c r="AS2" s="68">
        <v>41402</v>
      </c>
      <c r="AT2" s="68"/>
      <c r="AU2" s="47">
        <v>41404</v>
      </c>
      <c r="AV2" s="68">
        <v>41409</v>
      </c>
      <c r="AW2" s="68"/>
      <c r="AX2" s="47">
        <v>41411</v>
      </c>
      <c r="AY2" s="48" t="s">
        <v>74</v>
      </c>
    </row>
    <row r="3" spans="1:51" x14ac:dyDescent="0.25">
      <c r="A3" s="59">
        <v>2</v>
      </c>
      <c r="B3" s="51" t="s">
        <v>40</v>
      </c>
      <c r="C3" s="52" t="s">
        <v>41</v>
      </c>
      <c r="D3" s="52" t="s">
        <v>42</v>
      </c>
      <c r="E3" s="60" t="s">
        <v>75</v>
      </c>
      <c r="F3" s="53">
        <f t="shared" ref="F3:F14" si="0">I3+J3+L3+M3+O3+P3+R3+S3+U3+V3+X3+Y3+AA3+AB3+AD3+AE3+AG3+AH3+AJ3+AK3+AM3+AN3+AP3+AQ3+AS3+AT3+AV3+AW3</f>
        <v>22</v>
      </c>
      <c r="G3" s="53">
        <f>COUNTIF(Table8[[#This Row],[Column12]:[Column66]],0)</f>
        <v>6</v>
      </c>
      <c r="H3" s="54">
        <f t="shared" ref="H3:H11" si="1">G3/$F$1</f>
        <v>0.14285714285714285</v>
      </c>
      <c r="I3" s="56">
        <v>1</v>
      </c>
      <c r="J3" s="56">
        <v>1</v>
      </c>
      <c r="K3" s="55">
        <v>1</v>
      </c>
      <c r="L3" s="55">
        <v>1</v>
      </c>
      <c r="M3" s="55">
        <v>1</v>
      </c>
      <c r="N3" s="55">
        <v>1</v>
      </c>
      <c r="O3" s="55">
        <v>1</v>
      </c>
      <c r="P3" s="55">
        <v>1</v>
      </c>
      <c r="Q3" s="55">
        <v>1</v>
      </c>
      <c r="R3" s="55">
        <v>1</v>
      </c>
      <c r="S3" s="55">
        <v>1</v>
      </c>
      <c r="T3" s="55">
        <v>0</v>
      </c>
      <c r="U3" s="56">
        <v>0</v>
      </c>
      <c r="V3" s="56">
        <v>0</v>
      </c>
      <c r="W3" s="55">
        <v>0</v>
      </c>
      <c r="X3" s="55">
        <v>1</v>
      </c>
      <c r="Y3" s="55">
        <v>1</v>
      </c>
      <c r="Z3" s="55">
        <v>1</v>
      </c>
      <c r="AA3" s="55">
        <v>1</v>
      </c>
      <c r="AB3" s="55">
        <v>1</v>
      </c>
      <c r="AC3" s="55">
        <v>0</v>
      </c>
      <c r="AD3" s="55">
        <v>1</v>
      </c>
      <c r="AE3" s="55">
        <v>1</v>
      </c>
      <c r="AF3" s="55">
        <v>1</v>
      </c>
      <c r="AG3" s="55">
        <v>1</v>
      </c>
      <c r="AH3" s="55">
        <v>1</v>
      </c>
      <c r="AI3" s="55">
        <v>1</v>
      </c>
      <c r="AJ3" s="55">
        <v>1</v>
      </c>
      <c r="AK3" s="55">
        <v>1</v>
      </c>
      <c r="AL3" s="55">
        <v>1</v>
      </c>
      <c r="AM3" s="57">
        <v>1</v>
      </c>
      <c r="AN3" s="57">
        <v>1</v>
      </c>
      <c r="AO3" s="58">
        <v>0</v>
      </c>
      <c r="AP3" s="58"/>
      <c r="AQ3" s="58"/>
      <c r="AR3" s="55">
        <v>1</v>
      </c>
      <c r="AS3" s="55">
        <v>1</v>
      </c>
      <c r="AT3" s="55">
        <v>1</v>
      </c>
      <c r="AU3" s="55">
        <v>1</v>
      </c>
      <c r="AV3" s="55"/>
      <c r="AW3" s="55"/>
      <c r="AX3" s="55">
        <v>1</v>
      </c>
      <c r="AY3" s="56"/>
    </row>
    <row r="4" spans="1:51" x14ac:dyDescent="0.25">
      <c r="A4" s="50">
        <v>3</v>
      </c>
      <c r="B4" s="51" t="s">
        <v>43</v>
      </c>
      <c r="C4" s="52" t="s">
        <v>33</v>
      </c>
      <c r="D4" s="52" t="s">
        <v>34</v>
      </c>
      <c r="E4" s="60" t="s">
        <v>75</v>
      </c>
      <c r="F4" s="53">
        <f t="shared" si="0"/>
        <v>22</v>
      </c>
      <c r="G4" s="53">
        <f>COUNTIF(Table8[[#This Row],[Column12]:[Column66]],0)</f>
        <v>3</v>
      </c>
      <c r="H4" s="54">
        <f t="shared" si="1"/>
        <v>7.1428571428571425E-2</v>
      </c>
      <c r="I4" s="56">
        <v>1</v>
      </c>
      <c r="J4" s="56">
        <v>1</v>
      </c>
      <c r="K4" s="55">
        <v>1</v>
      </c>
      <c r="L4" s="55">
        <v>1</v>
      </c>
      <c r="M4" s="55">
        <v>1</v>
      </c>
      <c r="N4" s="55">
        <v>1</v>
      </c>
      <c r="O4" s="55">
        <v>1</v>
      </c>
      <c r="P4" s="55">
        <v>1</v>
      </c>
      <c r="Q4" s="55">
        <v>1</v>
      </c>
      <c r="R4" s="55">
        <v>1</v>
      </c>
      <c r="S4" s="55">
        <v>0</v>
      </c>
      <c r="T4" s="55">
        <v>1</v>
      </c>
      <c r="U4" s="56">
        <v>1</v>
      </c>
      <c r="V4" s="56">
        <v>1</v>
      </c>
      <c r="W4" s="55">
        <v>1</v>
      </c>
      <c r="X4" s="55">
        <v>0</v>
      </c>
      <c r="Y4" s="55">
        <v>1</v>
      </c>
      <c r="Z4" s="55">
        <v>1</v>
      </c>
      <c r="AA4" s="55">
        <v>1</v>
      </c>
      <c r="AB4" s="55">
        <v>1</v>
      </c>
      <c r="AC4" s="55">
        <v>0</v>
      </c>
      <c r="AD4" s="55">
        <v>1</v>
      </c>
      <c r="AE4" s="55">
        <v>1</v>
      </c>
      <c r="AF4" s="55">
        <v>1</v>
      </c>
      <c r="AG4" s="55">
        <v>1</v>
      </c>
      <c r="AH4" s="55">
        <v>1</v>
      </c>
      <c r="AI4" s="55">
        <v>1</v>
      </c>
      <c r="AJ4" s="55">
        <v>1</v>
      </c>
      <c r="AK4" s="55">
        <v>1</v>
      </c>
      <c r="AL4" s="55">
        <v>1</v>
      </c>
      <c r="AM4" s="57">
        <v>1</v>
      </c>
      <c r="AN4" s="57">
        <v>1</v>
      </c>
      <c r="AO4" s="58">
        <v>1</v>
      </c>
      <c r="AP4" s="58"/>
      <c r="AQ4" s="58"/>
      <c r="AR4" s="55">
        <v>1</v>
      </c>
      <c r="AS4" s="55">
        <v>1</v>
      </c>
      <c r="AT4" s="55">
        <v>1</v>
      </c>
      <c r="AU4" s="55">
        <v>1</v>
      </c>
      <c r="AV4" s="55"/>
      <c r="AW4" s="55"/>
      <c r="AX4" s="55">
        <v>1</v>
      </c>
      <c r="AY4" s="56"/>
    </row>
    <row r="5" spans="1:51" x14ac:dyDescent="0.25">
      <c r="A5" s="59">
        <v>4</v>
      </c>
      <c r="B5" s="51" t="s">
        <v>44</v>
      </c>
      <c r="C5" s="52" t="s">
        <v>45</v>
      </c>
      <c r="D5" s="52" t="s">
        <v>46</v>
      </c>
      <c r="E5" s="60" t="s">
        <v>75</v>
      </c>
      <c r="F5" s="53">
        <f t="shared" si="0"/>
        <v>20</v>
      </c>
      <c r="G5" s="53">
        <f>COUNTIF(Table8[[#This Row],[Column12]:[Column66]],0)</f>
        <v>10</v>
      </c>
      <c r="H5" s="54">
        <f t="shared" si="1"/>
        <v>0.23809523809523808</v>
      </c>
      <c r="I5" s="56">
        <v>1</v>
      </c>
      <c r="J5" s="56">
        <v>1</v>
      </c>
      <c r="K5" s="55">
        <v>1</v>
      </c>
      <c r="L5" s="55">
        <v>1</v>
      </c>
      <c r="M5" s="55">
        <v>1</v>
      </c>
      <c r="N5" s="55">
        <v>1</v>
      </c>
      <c r="O5" s="55">
        <v>1</v>
      </c>
      <c r="P5" s="55">
        <v>1</v>
      </c>
      <c r="Q5" s="55">
        <v>1</v>
      </c>
      <c r="R5" s="55">
        <v>1</v>
      </c>
      <c r="S5" s="55">
        <v>0</v>
      </c>
      <c r="T5" s="55">
        <v>0</v>
      </c>
      <c r="U5" s="56">
        <v>0</v>
      </c>
      <c r="V5" s="56">
        <v>0</v>
      </c>
      <c r="W5" s="55">
        <v>0</v>
      </c>
      <c r="X5" s="55">
        <v>0</v>
      </c>
      <c r="Y5" s="55">
        <v>1</v>
      </c>
      <c r="Z5" s="55">
        <v>1</v>
      </c>
      <c r="AA5" s="55">
        <v>1</v>
      </c>
      <c r="AB5" s="55">
        <v>1</v>
      </c>
      <c r="AC5" s="55">
        <v>0</v>
      </c>
      <c r="AD5" s="55">
        <v>1</v>
      </c>
      <c r="AE5" s="55">
        <v>1</v>
      </c>
      <c r="AF5" s="55">
        <v>1</v>
      </c>
      <c r="AG5" s="55">
        <v>1</v>
      </c>
      <c r="AH5" s="55">
        <v>1</v>
      </c>
      <c r="AI5" s="55">
        <v>0</v>
      </c>
      <c r="AJ5" s="55">
        <v>1</v>
      </c>
      <c r="AK5" s="55">
        <v>1</v>
      </c>
      <c r="AL5" s="55">
        <v>0</v>
      </c>
      <c r="AM5" s="57">
        <v>1</v>
      </c>
      <c r="AN5" s="57">
        <v>1</v>
      </c>
      <c r="AO5" s="58">
        <v>0</v>
      </c>
      <c r="AP5" s="58"/>
      <c r="AQ5" s="58"/>
      <c r="AR5" s="55">
        <v>1</v>
      </c>
      <c r="AS5" s="55">
        <v>1</v>
      </c>
      <c r="AT5" s="55">
        <v>1</v>
      </c>
      <c r="AU5" s="55">
        <v>1</v>
      </c>
      <c r="AV5" s="55"/>
      <c r="AW5" s="55"/>
      <c r="AX5" s="55">
        <v>1</v>
      </c>
      <c r="AY5" s="56"/>
    </row>
    <row r="6" spans="1:51" x14ac:dyDescent="0.25">
      <c r="A6" s="50">
        <v>5</v>
      </c>
      <c r="B6" s="51" t="s">
        <v>47</v>
      </c>
      <c r="C6" s="52" t="s">
        <v>35</v>
      </c>
      <c r="D6" s="52" t="s">
        <v>36</v>
      </c>
      <c r="E6" s="60" t="s">
        <v>75</v>
      </c>
      <c r="F6" s="53">
        <f t="shared" si="0"/>
        <v>20</v>
      </c>
      <c r="G6" s="53">
        <f>COUNTIF(Table8[[#This Row],[Column12]:[Column66]],0)</f>
        <v>10</v>
      </c>
      <c r="H6" s="54">
        <f t="shared" si="1"/>
        <v>0.23809523809523808</v>
      </c>
      <c r="I6" s="56">
        <v>1</v>
      </c>
      <c r="J6" s="56">
        <v>1</v>
      </c>
      <c r="K6" s="56">
        <v>1</v>
      </c>
      <c r="L6" s="55">
        <v>1</v>
      </c>
      <c r="M6" s="55">
        <v>1</v>
      </c>
      <c r="N6" s="55">
        <v>1</v>
      </c>
      <c r="O6" s="61">
        <v>1</v>
      </c>
      <c r="P6" s="61">
        <v>1</v>
      </c>
      <c r="Q6" s="55">
        <v>1</v>
      </c>
      <c r="R6" s="55">
        <v>1</v>
      </c>
      <c r="S6" s="55">
        <v>0</v>
      </c>
      <c r="T6" s="55">
        <v>0</v>
      </c>
      <c r="U6" s="56">
        <v>0</v>
      </c>
      <c r="V6" s="56">
        <v>0</v>
      </c>
      <c r="W6" s="55">
        <v>0</v>
      </c>
      <c r="X6" s="55">
        <v>0</v>
      </c>
      <c r="Y6" s="55">
        <v>1</v>
      </c>
      <c r="Z6" s="55">
        <v>0</v>
      </c>
      <c r="AA6" s="55">
        <v>1</v>
      </c>
      <c r="AB6" s="55">
        <v>1</v>
      </c>
      <c r="AC6" s="55">
        <v>0</v>
      </c>
      <c r="AD6" s="55">
        <v>1</v>
      </c>
      <c r="AE6" s="55">
        <v>1</v>
      </c>
      <c r="AF6" s="55">
        <v>1</v>
      </c>
      <c r="AG6" s="55">
        <v>1</v>
      </c>
      <c r="AH6" s="55">
        <v>1</v>
      </c>
      <c r="AI6" s="55">
        <v>0</v>
      </c>
      <c r="AJ6" s="55">
        <v>1</v>
      </c>
      <c r="AK6" s="55">
        <v>1</v>
      </c>
      <c r="AL6" s="55">
        <v>1</v>
      </c>
      <c r="AM6" s="57">
        <v>1</v>
      </c>
      <c r="AN6" s="57">
        <v>1</v>
      </c>
      <c r="AO6" s="58">
        <v>0</v>
      </c>
      <c r="AP6" s="58"/>
      <c r="AQ6" s="58"/>
      <c r="AR6" s="55">
        <v>1</v>
      </c>
      <c r="AS6" s="55">
        <v>1</v>
      </c>
      <c r="AT6" s="55">
        <v>1</v>
      </c>
      <c r="AU6" s="55">
        <v>1</v>
      </c>
      <c r="AV6" s="55"/>
      <c r="AW6" s="55"/>
      <c r="AX6" s="55">
        <v>1</v>
      </c>
      <c r="AY6" s="56"/>
    </row>
    <row r="7" spans="1:51" x14ac:dyDescent="0.25">
      <c r="A7" s="59">
        <v>6</v>
      </c>
      <c r="B7" s="51" t="s">
        <v>48</v>
      </c>
      <c r="C7" s="52" t="s">
        <v>49</v>
      </c>
      <c r="D7" s="52" t="s">
        <v>50</v>
      </c>
      <c r="E7" s="60" t="s">
        <v>75</v>
      </c>
      <c r="F7" s="53">
        <f t="shared" si="0"/>
        <v>23</v>
      </c>
      <c r="G7" s="53">
        <f>COUNTIF(Table8[[#This Row],[Column12]:[Column66]],0)</f>
        <v>3</v>
      </c>
      <c r="H7" s="54">
        <f t="shared" si="1"/>
        <v>7.1428571428571425E-2</v>
      </c>
      <c r="I7" s="56">
        <v>1</v>
      </c>
      <c r="J7" s="56">
        <v>1</v>
      </c>
      <c r="K7" s="56">
        <v>1</v>
      </c>
      <c r="L7" s="55">
        <v>1</v>
      </c>
      <c r="M7" s="55">
        <v>1</v>
      </c>
      <c r="N7" s="55">
        <v>1</v>
      </c>
      <c r="O7" s="55">
        <v>1</v>
      </c>
      <c r="P7" s="55">
        <v>1</v>
      </c>
      <c r="Q7" s="55">
        <v>1</v>
      </c>
      <c r="R7" s="55">
        <v>1</v>
      </c>
      <c r="S7" s="55">
        <v>0</v>
      </c>
      <c r="T7" s="55">
        <v>0</v>
      </c>
      <c r="U7" s="56">
        <v>1</v>
      </c>
      <c r="V7" s="56">
        <v>1</v>
      </c>
      <c r="W7" s="55">
        <v>1</v>
      </c>
      <c r="X7" s="55">
        <v>1</v>
      </c>
      <c r="Y7" s="55">
        <v>1</v>
      </c>
      <c r="Z7" s="55">
        <v>1</v>
      </c>
      <c r="AA7" s="55">
        <v>1</v>
      </c>
      <c r="AB7" s="55">
        <v>1</v>
      </c>
      <c r="AC7" s="55">
        <v>1</v>
      </c>
      <c r="AD7" s="55">
        <v>1</v>
      </c>
      <c r="AE7" s="55">
        <v>1</v>
      </c>
      <c r="AF7" s="55">
        <v>1</v>
      </c>
      <c r="AG7" s="55">
        <v>1</v>
      </c>
      <c r="AH7" s="55">
        <v>1</v>
      </c>
      <c r="AI7" s="55">
        <v>1</v>
      </c>
      <c r="AJ7" s="55">
        <v>1</v>
      </c>
      <c r="AK7" s="55">
        <v>1</v>
      </c>
      <c r="AL7" s="55">
        <v>1</v>
      </c>
      <c r="AM7" s="57">
        <v>1</v>
      </c>
      <c r="AN7" s="57">
        <v>1</v>
      </c>
      <c r="AO7" s="58">
        <v>0</v>
      </c>
      <c r="AP7" s="58"/>
      <c r="AQ7" s="58"/>
      <c r="AR7" s="55">
        <v>1</v>
      </c>
      <c r="AS7" s="55">
        <v>1</v>
      </c>
      <c r="AT7" s="55">
        <v>1</v>
      </c>
      <c r="AU7" s="55">
        <v>1</v>
      </c>
      <c r="AV7" s="55"/>
      <c r="AW7" s="55"/>
      <c r="AX7" s="55">
        <v>1</v>
      </c>
      <c r="AY7" s="56"/>
    </row>
    <row r="8" spans="1:51" x14ac:dyDescent="0.25">
      <c r="A8" s="59">
        <v>7</v>
      </c>
      <c r="B8" s="51" t="s">
        <v>51</v>
      </c>
      <c r="C8" s="52" t="s">
        <v>1</v>
      </c>
      <c r="D8" s="52" t="s">
        <v>37</v>
      </c>
      <c r="E8" s="60" t="s">
        <v>75</v>
      </c>
      <c r="F8" s="53">
        <f t="shared" si="0"/>
        <v>24</v>
      </c>
      <c r="G8" s="53">
        <f>COUNTIF(Table8[[#This Row],[Column12]:[Column66]],0)</f>
        <v>1</v>
      </c>
      <c r="H8" s="54">
        <f t="shared" si="1"/>
        <v>2.3809523809523808E-2</v>
      </c>
      <c r="I8" s="56">
        <v>1</v>
      </c>
      <c r="J8" s="56">
        <v>1</v>
      </c>
      <c r="K8" s="56">
        <v>1</v>
      </c>
      <c r="L8" s="55">
        <v>1</v>
      </c>
      <c r="M8" s="55">
        <v>1</v>
      </c>
      <c r="N8" s="55">
        <v>1</v>
      </c>
      <c r="O8" s="55">
        <v>1</v>
      </c>
      <c r="P8" s="55">
        <v>1</v>
      </c>
      <c r="Q8" s="55">
        <v>1</v>
      </c>
      <c r="R8" s="55">
        <v>1</v>
      </c>
      <c r="S8" s="55">
        <v>1</v>
      </c>
      <c r="T8" s="55">
        <v>1</v>
      </c>
      <c r="U8" s="56">
        <v>1</v>
      </c>
      <c r="V8" s="56">
        <v>1</v>
      </c>
      <c r="W8" s="55">
        <v>1</v>
      </c>
      <c r="X8" s="55">
        <v>1</v>
      </c>
      <c r="Y8" s="55">
        <v>1</v>
      </c>
      <c r="Z8" s="55">
        <v>1</v>
      </c>
      <c r="AA8" s="55">
        <v>1</v>
      </c>
      <c r="AB8" s="55">
        <v>1</v>
      </c>
      <c r="AC8" s="55">
        <v>1</v>
      </c>
      <c r="AD8" s="55">
        <v>1</v>
      </c>
      <c r="AE8" s="55">
        <v>1</v>
      </c>
      <c r="AF8" s="55">
        <v>1</v>
      </c>
      <c r="AG8" s="55">
        <v>1</v>
      </c>
      <c r="AH8" s="55">
        <v>1</v>
      </c>
      <c r="AI8" s="55">
        <v>1</v>
      </c>
      <c r="AJ8" s="55">
        <v>1</v>
      </c>
      <c r="AK8" s="55">
        <v>1</v>
      </c>
      <c r="AL8" s="55">
        <v>1</v>
      </c>
      <c r="AM8" s="57">
        <v>1</v>
      </c>
      <c r="AN8" s="57">
        <v>1</v>
      </c>
      <c r="AO8" s="58">
        <v>0</v>
      </c>
      <c r="AP8" s="58"/>
      <c r="AQ8" s="58"/>
      <c r="AR8" s="55">
        <v>1</v>
      </c>
      <c r="AS8" s="55">
        <v>1</v>
      </c>
      <c r="AT8" s="55">
        <v>1</v>
      </c>
      <c r="AU8" s="55">
        <v>1</v>
      </c>
      <c r="AV8" s="55"/>
      <c r="AW8" s="55"/>
      <c r="AX8" s="55">
        <v>1</v>
      </c>
      <c r="AY8" s="56"/>
    </row>
    <row r="9" spans="1:51" x14ac:dyDescent="0.25">
      <c r="A9" s="50">
        <v>8</v>
      </c>
      <c r="B9" s="51" t="s">
        <v>52</v>
      </c>
      <c r="C9" s="52" t="s">
        <v>53</v>
      </c>
      <c r="D9" s="52" t="s">
        <v>54</v>
      </c>
      <c r="E9" s="60" t="s">
        <v>75</v>
      </c>
      <c r="F9" s="53">
        <f t="shared" si="0"/>
        <v>23</v>
      </c>
      <c r="G9" s="53">
        <f>COUNTIF(Table8[[#This Row],[Column12]:[Column66]],0)</f>
        <v>7</v>
      </c>
      <c r="H9" s="54">
        <f t="shared" si="1"/>
        <v>0.16666666666666666</v>
      </c>
      <c r="I9" s="56">
        <v>1</v>
      </c>
      <c r="J9" s="56">
        <v>1</v>
      </c>
      <c r="K9" s="56">
        <v>1</v>
      </c>
      <c r="L9" s="55">
        <v>1</v>
      </c>
      <c r="M9" s="55">
        <v>1</v>
      </c>
      <c r="N9" s="55">
        <v>0</v>
      </c>
      <c r="O9" s="55">
        <v>1</v>
      </c>
      <c r="P9" s="55">
        <v>1</v>
      </c>
      <c r="Q9" s="55">
        <v>1</v>
      </c>
      <c r="R9" s="55">
        <v>1</v>
      </c>
      <c r="S9" s="55">
        <v>0</v>
      </c>
      <c r="T9" s="55">
        <v>0</v>
      </c>
      <c r="U9" s="56">
        <v>1</v>
      </c>
      <c r="V9" s="56">
        <v>1</v>
      </c>
      <c r="W9" s="55">
        <v>1</v>
      </c>
      <c r="X9" s="55">
        <v>1</v>
      </c>
      <c r="Y9" s="55">
        <v>1</v>
      </c>
      <c r="Z9" s="55">
        <v>0</v>
      </c>
      <c r="AA9" s="55">
        <v>1</v>
      </c>
      <c r="AB9" s="55">
        <v>1</v>
      </c>
      <c r="AC9" s="55">
        <v>0</v>
      </c>
      <c r="AD9" s="55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7">
        <v>1</v>
      </c>
      <c r="AN9" s="57">
        <v>1</v>
      </c>
      <c r="AO9" s="58">
        <v>0</v>
      </c>
      <c r="AP9" s="58"/>
      <c r="AQ9" s="58"/>
      <c r="AR9" s="55">
        <v>1</v>
      </c>
      <c r="AS9" s="55">
        <v>1</v>
      </c>
      <c r="AT9" s="55">
        <v>1</v>
      </c>
      <c r="AU9" s="55">
        <v>1</v>
      </c>
      <c r="AV9" s="55"/>
      <c r="AW9" s="55"/>
      <c r="AX9" s="55">
        <v>0</v>
      </c>
      <c r="AY9" s="56"/>
    </row>
    <row r="10" spans="1:51" x14ac:dyDescent="0.25">
      <c r="A10" s="59">
        <v>9</v>
      </c>
      <c r="B10" s="51" t="s">
        <v>55</v>
      </c>
      <c r="C10" s="52" t="s">
        <v>56</v>
      </c>
      <c r="D10" s="52" t="s">
        <v>57</v>
      </c>
      <c r="E10" s="60" t="s">
        <v>82</v>
      </c>
      <c r="F10" s="53">
        <f t="shared" si="0"/>
        <v>20</v>
      </c>
      <c r="G10" s="53">
        <f>COUNTIF(Table8[[#This Row],[Column12]:[Column66]],0)</f>
        <v>12</v>
      </c>
      <c r="H10" s="54">
        <f t="shared" si="1"/>
        <v>0.2857142857142857</v>
      </c>
      <c r="I10" s="56">
        <v>1</v>
      </c>
      <c r="J10" s="56">
        <v>1</v>
      </c>
      <c r="K10" s="56">
        <v>0</v>
      </c>
      <c r="L10" s="55">
        <v>1</v>
      </c>
      <c r="M10" s="55">
        <v>1</v>
      </c>
      <c r="N10" s="55">
        <v>0</v>
      </c>
      <c r="O10" s="55">
        <v>1</v>
      </c>
      <c r="P10" s="55">
        <v>1</v>
      </c>
      <c r="Q10" s="55">
        <v>0</v>
      </c>
      <c r="R10" s="55">
        <v>0</v>
      </c>
      <c r="S10" s="55">
        <v>0</v>
      </c>
      <c r="T10" s="55">
        <v>0</v>
      </c>
      <c r="U10" s="56">
        <v>1</v>
      </c>
      <c r="V10" s="56">
        <v>1</v>
      </c>
      <c r="W10" s="55">
        <v>0</v>
      </c>
      <c r="X10" s="55">
        <v>1</v>
      </c>
      <c r="Y10" s="55">
        <v>1</v>
      </c>
      <c r="Z10" s="55">
        <v>1</v>
      </c>
      <c r="AA10" s="55">
        <v>1</v>
      </c>
      <c r="AB10" s="55">
        <v>1</v>
      </c>
      <c r="AC10" s="55">
        <v>1</v>
      </c>
      <c r="AD10" s="55">
        <v>1</v>
      </c>
      <c r="AE10" s="55">
        <v>1</v>
      </c>
      <c r="AF10" s="55">
        <v>1</v>
      </c>
      <c r="AG10" s="55">
        <v>1</v>
      </c>
      <c r="AH10" s="55">
        <v>1</v>
      </c>
      <c r="AI10" s="55">
        <v>1</v>
      </c>
      <c r="AJ10" s="55">
        <v>1</v>
      </c>
      <c r="AK10" s="55">
        <v>1</v>
      </c>
      <c r="AL10" s="55">
        <v>0</v>
      </c>
      <c r="AM10" s="57">
        <v>1</v>
      </c>
      <c r="AN10" s="57">
        <v>1</v>
      </c>
      <c r="AO10" s="58">
        <v>0</v>
      </c>
      <c r="AP10" s="58"/>
      <c r="AQ10" s="58"/>
      <c r="AR10" s="55">
        <v>0</v>
      </c>
      <c r="AS10" s="55">
        <v>0</v>
      </c>
      <c r="AT10" s="55">
        <v>0</v>
      </c>
      <c r="AU10" s="55">
        <v>1</v>
      </c>
      <c r="AV10" s="55"/>
      <c r="AW10" s="55"/>
      <c r="AX10" s="55">
        <v>1</v>
      </c>
      <c r="AY10" s="56"/>
    </row>
    <row r="11" spans="1:51" x14ac:dyDescent="0.25">
      <c r="A11" s="59">
        <v>10</v>
      </c>
      <c r="B11" s="51" t="s">
        <v>58</v>
      </c>
      <c r="C11" s="52" t="s">
        <v>59</v>
      </c>
      <c r="D11" s="52" t="s">
        <v>60</v>
      </c>
      <c r="E11" s="60" t="s">
        <v>75</v>
      </c>
      <c r="F11" s="53">
        <f t="shared" si="0"/>
        <v>22</v>
      </c>
      <c r="G11" s="53">
        <f>COUNTIF(Table8[[#This Row],[Column12]:[Column66]],0)</f>
        <v>5</v>
      </c>
      <c r="H11" s="54">
        <f t="shared" si="1"/>
        <v>0.11904761904761904</v>
      </c>
      <c r="I11" s="56">
        <v>1</v>
      </c>
      <c r="J11" s="56">
        <v>1</v>
      </c>
      <c r="K11" s="56">
        <v>0</v>
      </c>
      <c r="L11" s="55">
        <v>1</v>
      </c>
      <c r="M11" s="55">
        <v>1</v>
      </c>
      <c r="N11" s="55">
        <v>0</v>
      </c>
      <c r="O11" s="55">
        <v>1</v>
      </c>
      <c r="P11" s="55">
        <v>1</v>
      </c>
      <c r="Q11" s="55">
        <v>1</v>
      </c>
      <c r="R11" s="55">
        <v>0</v>
      </c>
      <c r="S11" s="55">
        <v>0</v>
      </c>
      <c r="T11" s="55">
        <v>1</v>
      </c>
      <c r="U11" s="56">
        <v>1</v>
      </c>
      <c r="V11" s="56">
        <v>1</v>
      </c>
      <c r="W11" s="55">
        <v>0</v>
      </c>
      <c r="X11" s="55">
        <v>1</v>
      </c>
      <c r="Y11" s="55">
        <v>1</v>
      </c>
      <c r="Z11" s="55">
        <v>1</v>
      </c>
      <c r="AA11" s="55">
        <v>1</v>
      </c>
      <c r="AB11" s="55">
        <v>1</v>
      </c>
      <c r="AC11" s="55">
        <v>1</v>
      </c>
      <c r="AD11" s="55">
        <v>1</v>
      </c>
      <c r="AE11" s="55">
        <v>1</v>
      </c>
      <c r="AF11" s="55">
        <v>1</v>
      </c>
      <c r="AG11" s="55">
        <v>1</v>
      </c>
      <c r="AH11" s="55">
        <v>1</v>
      </c>
      <c r="AI11" s="55">
        <v>1</v>
      </c>
      <c r="AJ11" s="55">
        <v>1</v>
      </c>
      <c r="AK11" s="55">
        <v>1</v>
      </c>
      <c r="AL11" s="55">
        <v>1</v>
      </c>
      <c r="AM11" s="57">
        <v>1</v>
      </c>
      <c r="AN11" s="57">
        <v>1</v>
      </c>
      <c r="AO11" s="58">
        <v>1</v>
      </c>
      <c r="AP11" s="58"/>
      <c r="AQ11" s="58"/>
      <c r="AR11" s="55">
        <v>1</v>
      </c>
      <c r="AS11" s="55">
        <v>1</v>
      </c>
      <c r="AT11" s="55">
        <v>1</v>
      </c>
      <c r="AU11" s="55">
        <v>1</v>
      </c>
      <c r="AV11" s="55"/>
      <c r="AW11" s="55"/>
      <c r="AX11" s="55">
        <v>1</v>
      </c>
      <c r="AY11" s="56"/>
    </row>
    <row r="12" spans="1:51" x14ac:dyDescent="0.25">
      <c r="A12" s="50">
        <v>11</v>
      </c>
      <c r="B12" s="51" t="s">
        <v>61</v>
      </c>
      <c r="C12" s="52" t="s">
        <v>62</v>
      </c>
      <c r="D12" s="52" t="s">
        <v>12</v>
      </c>
      <c r="E12" s="60" t="s">
        <v>76</v>
      </c>
      <c r="F12" s="53">
        <f>I12+J12+L12+M12+O12+P12+R12+S12+U12+V12+X12+Y12+AA12+AB12+AD12+AE12+AG12+AH12+AJ12+AK12+AM12+AN12+AP12+AQ12+AS12+AT12+AV12+AW12</f>
        <v>16</v>
      </c>
      <c r="G12" s="53">
        <f>COUNTIF(Table8[[#This Row],[Column12]:[Column66]],0)</f>
        <v>10</v>
      </c>
      <c r="H12" s="54">
        <f>G12/$F$1</f>
        <v>0.23809523809523808</v>
      </c>
      <c r="I12" s="56">
        <v>0</v>
      </c>
      <c r="J12" s="56">
        <v>0</v>
      </c>
      <c r="K12" s="56">
        <v>1</v>
      </c>
      <c r="L12" s="55">
        <v>1</v>
      </c>
      <c r="M12" s="55">
        <v>0</v>
      </c>
      <c r="N12" s="55">
        <v>1</v>
      </c>
      <c r="O12" s="55">
        <v>1</v>
      </c>
      <c r="P12" s="55">
        <v>1</v>
      </c>
      <c r="Q12" s="55">
        <v>1</v>
      </c>
      <c r="R12" s="55">
        <v>1</v>
      </c>
      <c r="S12" s="55">
        <v>0</v>
      </c>
      <c r="T12" s="55">
        <v>1</v>
      </c>
      <c r="U12" s="56">
        <v>1</v>
      </c>
      <c r="V12" s="56">
        <v>1</v>
      </c>
      <c r="W12" s="55">
        <v>0</v>
      </c>
      <c r="X12" s="55">
        <v>0</v>
      </c>
      <c r="Y12" s="55">
        <v>0</v>
      </c>
      <c r="Z12" s="55">
        <v>1</v>
      </c>
      <c r="AA12" s="55">
        <v>1</v>
      </c>
      <c r="AB12" s="55">
        <v>1</v>
      </c>
      <c r="AC12" s="55">
        <v>1</v>
      </c>
      <c r="AD12" s="55">
        <v>1</v>
      </c>
      <c r="AE12" s="55">
        <v>1</v>
      </c>
      <c r="AF12" s="55">
        <v>1</v>
      </c>
      <c r="AG12" s="55">
        <v>1</v>
      </c>
      <c r="AH12" s="55">
        <v>1</v>
      </c>
      <c r="AI12" s="55">
        <v>1</v>
      </c>
      <c r="AJ12" s="55">
        <v>1</v>
      </c>
      <c r="AK12" s="55">
        <v>1</v>
      </c>
      <c r="AL12" s="55">
        <v>1</v>
      </c>
      <c r="AM12" s="57">
        <v>1</v>
      </c>
      <c r="AN12" s="57">
        <v>1</v>
      </c>
      <c r="AO12" s="58">
        <v>1</v>
      </c>
      <c r="AP12" s="58"/>
      <c r="AQ12" s="58"/>
      <c r="AR12" s="55">
        <v>0</v>
      </c>
      <c r="AS12" s="55">
        <v>0</v>
      </c>
      <c r="AT12" s="55">
        <v>0</v>
      </c>
      <c r="AU12" s="55">
        <v>1</v>
      </c>
      <c r="AV12" s="55"/>
      <c r="AW12" s="55"/>
      <c r="AX12" s="55">
        <v>1</v>
      </c>
      <c r="AY12" s="56"/>
    </row>
    <row r="13" spans="1:51" x14ac:dyDescent="0.25">
      <c r="A13" s="59">
        <v>12</v>
      </c>
      <c r="B13" s="51">
        <v>201219402</v>
      </c>
      <c r="C13" s="52" t="s">
        <v>0</v>
      </c>
      <c r="D13" s="52" t="s">
        <v>63</v>
      </c>
      <c r="E13" s="60" t="s">
        <v>76</v>
      </c>
      <c r="F13" s="53">
        <f t="shared" ref="F13" si="2">I13+J13+L13+M13+O13+P13+R13+S13+U13+V13+X13+Y13+AA13+AB13+AD13+AE13+AG13+AH13+AJ13+AK13+AM13+AN13+AP13+AQ13+AS13+AT13+AV13+AW13</f>
        <v>24</v>
      </c>
      <c r="G13" s="53">
        <f>COUNTIF(Table8[[#This Row],[Column12]:[Column66]],0)</f>
        <v>0</v>
      </c>
      <c r="H13" s="54">
        <f t="shared" ref="H13:H14" si="3">G13/$F$1</f>
        <v>0</v>
      </c>
      <c r="I13" s="56">
        <v>1</v>
      </c>
      <c r="J13" s="56">
        <v>1</v>
      </c>
      <c r="K13" s="56">
        <v>1</v>
      </c>
      <c r="L13" s="55">
        <v>1</v>
      </c>
      <c r="M13" s="55">
        <v>1</v>
      </c>
      <c r="N13" s="55">
        <v>1</v>
      </c>
      <c r="O13" s="55">
        <v>1</v>
      </c>
      <c r="P13" s="55">
        <v>1</v>
      </c>
      <c r="Q13" s="55">
        <v>1</v>
      </c>
      <c r="R13" s="55">
        <v>1</v>
      </c>
      <c r="S13" s="55">
        <v>1</v>
      </c>
      <c r="T13" s="55">
        <v>1</v>
      </c>
      <c r="U13" s="56">
        <v>1</v>
      </c>
      <c r="V13" s="56">
        <v>1</v>
      </c>
      <c r="W13" s="55">
        <v>1</v>
      </c>
      <c r="X13" s="55">
        <v>1</v>
      </c>
      <c r="Y13" s="55">
        <v>1</v>
      </c>
      <c r="Z13" s="55">
        <v>1</v>
      </c>
      <c r="AA13" s="55">
        <v>1</v>
      </c>
      <c r="AB13" s="55">
        <v>1</v>
      </c>
      <c r="AC13" s="55">
        <v>1</v>
      </c>
      <c r="AD13" s="55">
        <v>1</v>
      </c>
      <c r="AE13" s="55">
        <v>1</v>
      </c>
      <c r="AF13" s="55">
        <v>1</v>
      </c>
      <c r="AG13" s="55">
        <v>1</v>
      </c>
      <c r="AH13" s="55">
        <v>1</v>
      </c>
      <c r="AI13" s="55">
        <v>1</v>
      </c>
      <c r="AJ13" s="55">
        <v>1</v>
      </c>
      <c r="AK13" s="55">
        <v>1</v>
      </c>
      <c r="AL13" s="55">
        <v>1</v>
      </c>
      <c r="AM13" s="57">
        <v>1</v>
      </c>
      <c r="AN13" s="57">
        <v>1</v>
      </c>
      <c r="AO13" s="58">
        <v>1</v>
      </c>
      <c r="AP13" s="58"/>
      <c r="AQ13" s="58"/>
      <c r="AR13" s="55">
        <v>1</v>
      </c>
      <c r="AS13" s="55">
        <v>1</v>
      </c>
      <c r="AT13" s="55">
        <v>1</v>
      </c>
      <c r="AU13" s="55">
        <v>1</v>
      </c>
      <c r="AV13" s="55"/>
      <c r="AW13" s="55"/>
      <c r="AX13" s="55">
        <v>1</v>
      </c>
      <c r="AY13" s="56"/>
    </row>
    <row r="14" spans="1:51" ht="15" customHeight="1" x14ac:dyDescent="0.25">
      <c r="A14" s="59">
        <v>13</v>
      </c>
      <c r="B14" s="62" t="s">
        <v>77</v>
      </c>
      <c r="C14" s="63" t="s">
        <v>78</v>
      </c>
      <c r="D14" s="63" t="s">
        <v>79</v>
      </c>
      <c r="E14" s="60" t="s">
        <v>80</v>
      </c>
      <c r="F14" s="53">
        <f t="shared" si="0"/>
        <v>20</v>
      </c>
      <c r="G14" s="53">
        <f>COUNTIF(Table8[[#This Row],[Column12]:[Column66]],0)</f>
        <v>8</v>
      </c>
      <c r="H14" s="54">
        <f t="shared" si="3"/>
        <v>0.19047619047619047</v>
      </c>
      <c r="I14" s="56">
        <v>0</v>
      </c>
      <c r="J14" s="56">
        <v>0</v>
      </c>
      <c r="K14" s="56">
        <v>0</v>
      </c>
      <c r="L14" s="55">
        <v>0</v>
      </c>
      <c r="M14" s="55">
        <v>0</v>
      </c>
      <c r="N14" s="55">
        <v>0</v>
      </c>
      <c r="O14" s="55">
        <v>1</v>
      </c>
      <c r="P14" s="55">
        <v>1</v>
      </c>
      <c r="Q14" s="55">
        <v>1</v>
      </c>
      <c r="R14" s="55">
        <v>1</v>
      </c>
      <c r="S14" s="55">
        <v>1</v>
      </c>
      <c r="T14" s="55">
        <v>1</v>
      </c>
      <c r="U14" s="56">
        <v>1</v>
      </c>
      <c r="V14" s="56">
        <v>1</v>
      </c>
      <c r="W14" s="55">
        <v>1</v>
      </c>
      <c r="X14" s="55">
        <v>1</v>
      </c>
      <c r="Y14" s="55">
        <v>1</v>
      </c>
      <c r="Z14" s="55">
        <v>1</v>
      </c>
      <c r="AA14" s="55">
        <v>1</v>
      </c>
      <c r="AB14" s="55">
        <v>1</v>
      </c>
      <c r="AC14" s="55">
        <v>1</v>
      </c>
      <c r="AD14" s="55">
        <v>1</v>
      </c>
      <c r="AE14" s="55">
        <v>1</v>
      </c>
      <c r="AF14" s="55">
        <v>1</v>
      </c>
      <c r="AG14" s="55">
        <v>1</v>
      </c>
      <c r="AH14" s="55">
        <v>1</v>
      </c>
      <c r="AI14" s="55">
        <v>1</v>
      </c>
      <c r="AJ14" s="55">
        <v>1</v>
      </c>
      <c r="AK14" s="55">
        <v>1</v>
      </c>
      <c r="AL14" s="55">
        <v>1</v>
      </c>
      <c r="AM14" s="57">
        <v>1</v>
      </c>
      <c r="AN14" s="57">
        <v>1</v>
      </c>
      <c r="AO14" s="58">
        <v>0</v>
      </c>
      <c r="AP14" s="58"/>
      <c r="AQ14" s="58"/>
      <c r="AR14" s="55">
        <v>1</v>
      </c>
      <c r="AS14" s="55">
        <v>1</v>
      </c>
      <c r="AT14" s="55">
        <v>1</v>
      </c>
      <c r="AU14" s="55">
        <v>0</v>
      </c>
      <c r="AV14" s="55"/>
      <c r="AW14" s="55"/>
      <c r="AX14" s="55">
        <v>1</v>
      </c>
      <c r="AY14" s="56"/>
    </row>
    <row r="15" spans="1:51" x14ac:dyDescent="0.25">
      <c r="I15" s="43">
        <f>SUM(Table8[[#All],[Column12]])</f>
        <v>10</v>
      </c>
      <c r="J15" s="43">
        <f>SUM(Table8[[#All],[Column13]])</f>
        <v>10</v>
      </c>
      <c r="K15" s="43">
        <f>SUM(Table8[[#All],[Column14]])</f>
        <v>9</v>
      </c>
      <c r="L15" s="43">
        <f>SUM(Table8[[#All],[Column16]])</f>
        <v>11</v>
      </c>
      <c r="M15" s="43">
        <f>SUM(Table8[[#All],[Column17]])</f>
        <v>10</v>
      </c>
      <c r="N15" s="43">
        <f>SUM(Table8[[#All],[Column18]])</f>
        <v>8</v>
      </c>
      <c r="O15" s="43">
        <f>SUM(Table8[[#All],[Column20]])</f>
        <v>12</v>
      </c>
      <c r="P15" s="43">
        <f>SUM(Table8[[#All],[Column21]])</f>
        <v>12</v>
      </c>
      <c r="Q15" s="43">
        <f>SUM(Table8[[#All],[Column22]])</f>
        <v>11</v>
      </c>
      <c r="R15" s="43">
        <f>SUM(Table8[[#All],[Column24]])</f>
        <v>10</v>
      </c>
      <c r="S15" s="43">
        <f>SUM(Table8[[#All],[Column25]])</f>
        <v>4</v>
      </c>
      <c r="T15" s="43">
        <f>SUM(Table8[[#All],[Column26]])</f>
        <v>6</v>
      </c>
      <c r="U15" s="43">
        <f>SUM(Table8[[#All],[Column28]])</f>
        <v>9</v>
      </c>
      <c r="V15" s="43">
        <f>SUM(Table8[[#All],[Column29]])</f>
        <v>9</v>
      </c>
      <c r="W15" s="43">
        <f>SUM(Table8[[#All],[Column30]])</f>
        <v>6</v>
      </c>
      <c r="X15" s="43">
        <f>SUM(Table8[[#All],[Column32]])</f>
        <v>8</v>
      </c>
      <c r="Y15" s="43">
        <f>SUM(Table8[[#All],[Column33]])</f>
        <v>11</v>
      </c>
      <c r="Z15" s="43">
        <f>SUM(Table8[[#All],[Column34]])</f>
        <v>10</v>
      </c>
      <c r="AA15" s="43">
        <f>SUM(Table8[[#All],[Column36]])</f>
        <v>12</v>
      </c>
      <c r="AB15" s="43">
        <f>SUM(Table8[[#All],[Column37]])</f>
        <v>12</v>
      </c>
      <c r="AC15" s="43">
        <f>SUM(Table8[[#All],[Column38]])</f>
        <v>7</v>
      </c>
      <c r="AD15" s="43">
        <f>SUM(Table8[[#All],[Column40]])</f>
        <v>12</v>
      </c>
      <c r="AE15" s="43">
        <f>SUM(Table8[[#All],[Column41]])</f>
        <v>12</v>
      </c>
      <c r="AF15" s="43">
        <f>SUM(Table8[[#All],[Column42]])</f>
        <v>12</v>
      </c>
      <c r="AG15" s="43">
        <f>SUM(Table8[[#All],[Column44]])</f>
        <v>12</v>
      </c>
      <c r="AH15" s="43">
        <f>SUM(Table8[[#All],[Column45]])</f>
        <v>12</v>
      </c>
      <c r="AI15" s="43">
        <f>SUM(Table8[[#All],[Column46]])</f>
        <v>10</v>
      </c>
      <c r="AJ15" s="43">
        <f>SUM(Table8[[#All],[Column48]])</f>
        <v>12</v>
      </c>
      <c r="AK15" s="43">
        <f>SUM(Table8[[#All],[Column49]])</f>
        <v>12</v>
      </c>
      <c r="AL15" s="43">
        <f>SUM(Table8[[#All],[Column50]])</f>
        <v>10</v>
      </c>
      <c r="AM15" s="43">
        <f>SUM(Table8[[#All],[Column52]])</f>
        <v>12</v>
      </c>
      <c r="AN15" s="43">
        <f>SUM(Table8[[#All],[Column53]])</f>
        <v>12</v>
      </c>
      <c r="AO15" s="42">
        <f>SUM(Table8[[#All],[Column54]])</f>
        <v>4</v>
      </c>
      <c r="AR15" s="43">
        <f>SUBTOTAL(109,Table8[[#All],[Column58]])</f>
        <v>10</v>
      </c>
      <c r="AS15" s="43">
        <f>SUBTOTAL(109,Table8[[#All],[Column60]])</f>
        <v>10</v>
      </c>
      <c r="AT15" s="43">
        <f>SUBTOTAL(109,Table8[[#All],[Column61]])</f>
        <v>10</v>
      </c>
      <c r="AU15" s="43">
        <f>SUBTOTAL(109,Table8[[#All],[Column62]])</f>
        <v>11</v>
      </c>
      <c r="AX15" s="43">
        <f>SUBTOTAL(109,Table8[[#All],[Column62]])</f>
        <v>11</v>
      </c>
    </row>
  </sheetData>
  <mergeCells count="15">
    <mergeCell ref="AP2:AQ2"/>
    <mergeCell ref="AS2:AT2"/>
    <mergeCell ref="AV2:AW2"/>
    <mergeCell ref="X2:Y2"/>
    <mergeCell ref="AA2:AB2"/>
    <mergeCell ref="AD2:AE2"/>
    <mergeCell ref="AG2:AH2"/>
    <mergeCell ref="AJ2:AK2"/>
    <mergeCell ref="AM2:AN2"/>
    <mergeCell ref="U2:V2"/>
    <mergeCell ref="A1:E1"/>
    <mergeCell ref="I2:J2"/>
    <mergeCell ref="L2:M2"/>
    <mergeCell ref="O2:P2"/>
    <mergeCell ref="R2:S2"/>
  </mergeCells>
  <conditionalFormatting sqref="H14 H3:H12">
    <cfRule type="cellIs" dxfId="161" priority="2" operator="lessThan">
      <formula>0.7</formula>
    </cfRule>
  </conditionalFormatting>
  <conditionalFormatting sqref="H13">
    <cfRule type="cellIs" dxfId="160" priority="1" operator="lessThan">
      <formula>0.7</formula>
    </cfRule>
  </conditionalFormatting>
  <pageMargins left="0.7" right="0.7" top="0.75" bottom="0.75" header="0.3" footer="0.3"/>
  <pageSetup paperSize="8" orientation="landscape" horizontalDpi="3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Attendance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Akyürek</dc:creator>
  <cp:lastModifiedBy>Turgut AKYÜREK</cp:lastModifiedBy>
  <cp:lastPrinted>2012-11-30T20:22:00Z</cp:lastPrinted>
  <dcterms:created xsi:type="dcterms:W3CDTF">2011-09-25T08:41:17Z</dcterms:created>
  <dcterms:modified xsi:type="dcterms:W3CDTF">2013-05-24T18:38:31Z</dcterms:modified>
</cp:coreProperties>
</file>